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billh\Documents\C&amp;NTSA\C&amp;NLeague\2025-26Winter\Info\"/>
    </mc:Choice>
  </mc:AlternateContent>
  <xr:revisionPtr revIDLastSave="0" documentId="13_ncr:1_{948C59E4-79DF-4FFF-BEF7-38D5484CF515}" xr6:coauthVersionLast="47" xr6:coauthVersionMax="47" xr10:uidLastSave="{00000000-0000-0000-0000-000000000000}"/>
  <bookViews>
    <workbookView xWindow="630" yWindow="975" windowWidth="22245" windowHeight="14385" tabRatio="852" xr2:uid="{A509AA6C-CA84-4221-B5FB-95824E809686}"/>
  </bookViews>
  <sheets>
    <sheet name="Instructions" sheetId="12" r:id="rId1"/>
    <sheet name="Submission" sheetId="33" r:id="rId2"/>
    <sheet name="Summary" sheetId="4" r:id="rId3"/>
    <sheet name="Conditions" sheetId="163" r:id="rId4"/>
    <sheet name="10m Air Pistol" sheetId="249" r:id="rId5"/>
    <sheet name="10m Air Pistol (Supp rest)" sheetId="259" r:id="rId6"/>
    <sheet name="10m Air Rifle" sheetId="250" r:id="rId7"/>
    <sheet name="10m Air Rifle (Supp rest)" sheetId="260" r:id="rId8"/>
    <sheet name="20Yd Pistol" sheetId="251" r:id="rId9"/>
    <sheet name="6Yd Air Pistol" sheetId="261" r:id="rId10"/>
    <sheet name="Bench 100yd" sheetId="252" r:id="rId11"/>
    <sheet name="Bench 50m" sheetId="253" r:id="rId12"/>
    <sheet name="Bench SR (Air)" sheetId="254" r:id="rId13"/>
    <sheet name="Bench SR (Rim)" sheetId="255" r:id="rId14"/>
    <sheet name="Gallery Rifle Any" sheetId="262" r:id="rId15"/>
    <sheet name="Gallery Rifle Iron" sheetId="263" r:id="rId16"/>
    <sheet name="L-Barrelled Revolver Any" sheetId="264" r:id="rId17"/>
    <sheet name="L-Barrelled Revolver Iron" sheetId="265" r:id="rId18"/>
    <sheet name="Long Barrelled Pistol" sheetId="266" r:id="rId19"/>
    <sheet name="LR Rifle 100 Any" sheetId="276" r:id="rId20"/>
    <sheet name="LR Rifle 50 Iron" sheetId="278" r:id="rId21"/>
    <sheet name="LR Rifle Dewar" sheetId="275" r:id="rId22"/>
    <sheet name="Muzzle-loading Nitro" sheetId="268" r:id="rId23"/>
    <sheet name="Muzzle-loading Pistol" sheetId="269" r:id="rId24"/>
    <sheet name="Muzzle-loading Revolver" sheetId="270" r:id="rId25"/>
    <sheet name="Rapid Fire Air Pistol" sheetId="271" r:id="rId26"/>
    <sheet name="Rapid Fire Rifle" sheetId="272" r:id="rId27"/>
    <sheet name="Short Range Rifle" sheetId="257" r:id="rId28"/>
    <sheet name="Sport Rifle" sheetId="258" r:id="rId29"/>
    <sheet name="SR Standard Pistol" sheetId="273" r:id="rId30"/>
    <sheet name="Work" sheetId="67" state="hidden" r:id="rId31"/>
  </sheets>
  <externalReferences>
    <externalReference r:id="rId32"/>
  </externalReferences>
  <definedNames>
    <definedName name="_Hlk107047039" localSheetId="3">Conditions!$B$74</definedName>
    <definedName name="_Hlk10976196" localSheetId="3">Conditions!$B$108</definedName>
    <definedName name="_Hlk124940065" localSheetId="3">Conditions!$B$57</definedName>
    <definedName name="_Hlk152082173" localSheetId="3">Conditions!$B$321</definedName>
    <definedName name="_Hlk37516951" localSheetId="3">Conditions!$B$185</definedName>
    <definedName name="_Hlk37517549" localSheetId="3">Conditions!$B$212</definedName>
    <definedName name="address1">Submission!$C$22</definedName>
    <definedName name="address2">Submission!$C$23</definedName>
    <definedName name="address3">Submission!$C$24</definedName>
    <definedName name="address4">Submission!$C$25</definedName>
    <definedName name="ap20avs">'20Yd Pistol'!$C$9:$C$28</definedName>
    <definedName name="ap20chk">'20Yd Pistol'!$G$9:$G$28</definedName>
    <definedName name="ap20errs">'20Yd Pistol'!$B$29:$B$34</definedName>
    <definedName name="ap20inds">'20Yd Pistol'!$D$9:$D$28</definedName>
    <definedName name="ap20js">'20Yd Pistol'!$E$9:$E$28</definedName>
    <definedName name="ap20nms">'20Yd Pistol'!$B$9:$B$28</definedName>
    <definedName name="ap20tms">'20Yd Pistol'!$F$9:$F$28</definedName>
    <definedName name="ap6avs">'6Yd Air Pistol'!$C$9:$C$18</definedName>
    <definedName name="ap6errs">'6Yd Air Pistol'!$B$19:$B$20</definedName>
    <definedName name="ap6js">'6Yd Air Pistol'!$D$9:$D$18</definedName>
    <definedName name="ap6nms">'6Yd Air Pistol'!$B$9:$B$18</definedName>
    <definedName name="apavs">'10m Air Pistol'!$C$9:$C$33</definedName>
    <definedName name="apchk">'10m Air Pistol'!$G$9:$G$33</definedName>
    <definedName name="aperrs">'10m Air Pistol'!$B$34:$B$39</definedName>
    <definedName name="apinds">'10m Air Pistol'!$D$9:$D$33</definedName>
    <definedName name="apjs">'10m Air Pistol'!$E$9:$E$33</definedName>
    <definedName name="apnms">'10m Air Pistol'!$B$9:$B$33</definedName>
    <definedName name="apsravs">'10m Air Pistol (Supp rest)'!$C$9:$C$23</definedName>
    <definedName name="apsrerrs">'10m Air Pistol (Supp rest)'!$B$24:$B$25</definedName>
    <definedName name="apsrjs">'10m Air Pistol (Supp rest)'!$D$9:$D$23</definedName>
    <definedName name="apsrnms">'10m Air Pistol (Supp rest)'!$B$9:$B$23</definedName>
    <definedName name="aptms">'10m Air Pistol'!$F$9:$F$33</definedName>
    <definedName name="aravs">'10m Air Rifle'!$C$9:$C$23</definedName>
    <definedName name="archk">'10m Air Rifle'!$G$9:$G$23</definedName>
    <definedName name="arerrs">'10m Air Rifle'!$B$24:$B$29</definedName>
    <definedName name="arinds">'10m Air Rifle'!$D$9:$D$23</definedName>
    <definedName name="arjs">'10m Air Rifle'!$E$9:$E$23</definedName>
    <definedName name="arnms">'10m Air Rifle'!$B$9:$B$23</definedName>
    <definedName name="arsravs">'10m Air Rifle (Supp rest)'!$C$9:$C$23</definedName>
    <definedName name="arsrerrs">'10m Air Rifle (Supp rest)'!$B$24:$B$25</definedName>
    <definedName name="arsrjs">'10m Air Rifle (Supp rest)'!$D$9:$D$23</definedName>
    <definedName name="arsrnms">'10m Air Rifle (Supp rest)'!$B$9:$B$23</definedName>
    <definedName name="artms">'10m Air Rifle'!$F$9:$F$23</definedName>
    <definedName name="as100avs">'LR Rifle 100 Any'!$C$9:$C$28</definedName>
    <definedName name="as100chk">'LR Rifle 100 Any'!$G$9:$G$28</definedName>
    <definedName name="as100errs">'LR Rifle 100 Any'!$B$29:$B$34</definedName>
    <definedName name="as100inds">'LR Rifle 100 Any'!$D$9:$D$28</definedName>
    <definedName name="as100js">'LR Rifle 100 Any'!$E$9:$E$28</definedName>
    <definedName name="as100nms">'LR Rifle 100 Any'!$B$9:$B$28</definedName>
    <definedName name="as100tms">'LR Rifle 100 Any'!$F$9:$F$28</definedName>
    <definedName name="BR100avs">'Bench 100yd'!$C$9:$C$33</definedName>
    <definedName name="BR100chk">'Bench 100yd'!$G$9:$G$33</definedName>
    <definedName name="BR100errs">'Bench 100yd'!$B$34:$B$39</definedName>
    <definedName name="BR100inds">'Bench 100yd'!$D$9:$D$33</definedName>
    <definedName name="BR100js">'Bench 100yd'!$E$9:$E$33</definedName>
    <definedName name="BR100nms">'Bench 100yd'!$B$9:$B$33</definedName>
    <definedName name="BR100tms">'Bench 100yd'!$F$9:$F$33</definedName>
    <definedName name="closingdate">Submission!$B$3</definedName>
    <definedName name="clubname">Submission!$D$18</definedName>
    <definedName name="dewravs">'LR Rifle Dewar'!$C$9:$C$28</definedName>
    <definedName name="dewrchk">'LR Rifle Dewar'!$G$9:$G$28</definedName>
    <definedName name="dewrerrs">'LR Rifle Dewar'!$B$29:$B$34</definedName>
    <definedName name="dewrinds">'LR Rifle Dewar'!$D$9:$D$28</definedName>
    <definedName name="dewrjs">'LR Rifle Dewar'!$E$9:$E$28</definedName>
    <definedName name="dewrnms">'LR Rifle Dewar'!$B$9:$B$28</definedName>
    <definedName name="dewrtms">'LR Rifle Dewar'!$F$9:$F$28</definedName>
    <definedName name="discipline">Submission!$K$33</definedName>
    <definedName name="email1">Submission!$D$28</definedName>
    <definedName name="email2">Submission!$D$33</definedName>
    <definedName name="errorindicator">Submission!$H$16</definedName>
    <definedName name="feeind">Summary!$C$7</definedName>
    <definedName name="feejs">Summary!$C$8</definedName>
    <definedName name="feesummary">Summary!$B$60:$E$65</definedName>
    <definedName name="feetm">Summary!$C$9</definedName>
    <definedName name="filetype">[1]Control!#REF!</definedName>
    <definedName name="formdate">Submission!$C$14</definedName>
    <definedName name="gdprbox">Submission!$N$10</definedName>
    <definedName name="graavs">'Gallery Rifle Any'!$C$9:$C$28</definedName>
    <definedName name="graerrs">'Gallery Rifle Any'!$B$29:$B$30</definedName>
    <definedName name="grajs">'Gallery Rifle Any'!$D$9:$D$28</definedName>
    <definedName name="granms">'Gallery Rifle Any'!$B$9:$B$28</definedName>
    <definedName name="griavs">'Gallery Rifle Iron'!$C$9:$C$28</definedName>
    <definedName name="grierrs">'Gallery Rifle Iron'!$B$29:$B$30</definedName>
    <definedName name="grijs">'Gallery Rifle Iron'!$D$9:$D$28</definedName>
    <definedName name="grinms">'Gallery Rifle Iron'!$B$9:$B$28</definedName>
    <definedName name="indcount">Summary!$D$61</definedName>
    <definedName name="indsfees">Summary!$E$61</definedName>
    <definedName name="is50avs">'LR Rifle 50 Iron'!$C$9:$C$28</definedName>
    <definedName name="is50chk">'LR Rifle 50 Iron'!$G$9:$G$28</definedName>
    <definedName name="is50errs">'LR Rifle 50 Iron'!$B$29:$B$34</definedName>
    <definedName name="is50inds">'LR Rifle 50 Iron'!$D$9:$D$28</definedName>
    <definedName name="is50js">'LR Rifle 50 Iron'!$E$9:$E$28</definedName>
    <definedName name="is50nms">'LR Rifle 50 Iron'!$B$9:$B$28</definedName>
    <definedName name="is50tms">'LR Rifle 50 Iron'!$F$9:$F$28</definedName>
    <definedName name="juncount">Summary!$D$62</definedName>
    <definedName name="junfees">Summary!$E$62</definedName>
    <definedName name="junsenfees">Summary!$E$62</definedName>
    <definedName name="lbpavs">'Long Barrelled Pistol'!$C$9:$C$28</definedName>
    <definedName name="lbperrs">'Long Barrelled Pistol'!$B$29:$B$30</definedName>
    <definedName name="lbpjs">'Long Barrelled Pistol'!$D$9:$D$28</definedName>
    <definedName name="lbpnms">'Long Barrelled Pistol'!$B$9:$B$28</definedName>
    <definedName name="lbraavs">'L-Barrelled Revolver Any'!$C$9:$C$18</definedName>
    <definedName name="lbraerrs">'L-Barrelled Revolver Any'!$B$19:$B$20</definedName>
    <definedName name="lbrajs">'L-Barrelled Revolver Any'!$D$9:$D$18</definedName>
    <definedName name="lbranms">'L-Barrelled Revolver Any'!$B$9:$B$18</definedName>
    <definedName name="lbriavs">'L-Barrelled Revolver Iron'!$C$9:$C$18</definedName>
    <definedName name="lbrierrs">'L-Barrelled Revolver Iron'!$B$19:$B$20</definedName>
    <definedName name="lbrijs">'L-Barrelled Revolver Iron'!$D$9:$D$18</definedName>
    <definedName name="lbrinms">'L-Barrelled Revolver Iron'!$B$9:$B$18</definedName>
    <definedName name="lrbravs">'Bench 50m'!$C$9:$C$28</definedName>
    <definedName name="lrbrchk">'Bench 50m'!$G$9:$G$28</definedName>
    <definedName name="lrbrerrs">'Bench 50m'!$B$29:$B$34</definedName>
    <definedName name="lrbrinds">'Bench 50m'!$D$9:$D$28</definedName>
    <definedName name="lrbrjs">'Bench 50m'!$E$9:$E$28</definedName>
    <definedName name="lrbrnms">'Bench 50m'!$B$9:$B$28</definedName>
    <definedName name="lrbrtms">'Bench 50m'!$F$9:$F$28</definedName>
    <definedName name="mlnavs">'Muzzle-loading Nitro'!$C$9:$C$20</definedName>
    <definedName name="mlnerrs">'Muzzle-loading Nitro'!$B$21:$B$22</definedName>
    <definedName name="mlnjs">'Muzzle-loading Nitro'!$D$9:$D$20</definedName>
    <definedName name="mlnnms">'Muzzle-loading Nitro'!$B$9:$B$20</definedName>
    <definedName name="mlpavs">'Muzzle-loading Pistol'!$C$9:$C$23</definedName>
    <definedName name="mlperrs">'Muzzle-loading Pistol'!$B$24:$B$25</definedName>
    <definedName name="mlpjs">'Muzzle-loading Pistol'!$D$9:$D$23</definedName>
    <definedName name="mlpnms">'Muzzle-loading Pistol'!$B$9:$B$23</definedName>
    <definedName name="mlravs">'Muzzle-loading Revolver'!$C$9:$C$23</definedName>
    <definedName name="mlrerrs">'Muzzle-loading Revolver'!$B$24:$B$25</definedName>
    <definedName name="mlrjs">'Muzzle-loading Revolver'!$D$9:$D$23</definedName>
    <definedName name="mlrnms">'Muzzle-loading Revolver'!$B$9:$B$23</definedName>
    <definedName name="name">Submission!$C$21</definedName>
    <definedName name="phone">Submission!$D$27</definedName>
    <definedName name="position">Submission!$L$12</definedName>
    <definedName name="postcode">Submission!$H$25</definedName>
    <definedName name="rfapavs">'Rapid Fire Air Pistol'!$C$9:$C$23</definedName>
    <definedName name="rfaperrs">'Rapid Fire Air Pistol'!$B$24:$B$25</definedName>
    <definedName name="rfapjs">'Rapid Fire Air Pistol'!$D$9:$D$23</definedName>
    <definedName name="rfapnms">'Rapid Fire Air Pistol'!$B$9:$B$23</definedName>
    <definedName name="rfravs">'Rapid Fire Rifle'!$C$9:$C$18</definedName>
    <definedName name="rfrerrs">'Rapid Fire Rifle'!$B$19:$B$20</definedName>
    <definedName name="rfrjs">'Rapid Fire Rifle'!$D$9:$D$18</definedName>
    <definedName name="rfrnms">'Rapid Fire Rifle'!$B$9:$B$18</definedName>
    <definedName name="season">Submission!$B$2</definedName>
    <definedName name="sencount">Summary!$D$63</definedName>
    <definedName name="senfees">Summary!$E$63</definedName>
    <definedName name="signature">Submission!$C$12</definedName>
    <definedName name="sprtavs">'Sport Rifle'!$C$9:$C$38</definedName>
    <definedName name="sprtchk">'Sport Rifle'!$G$9:$G$38</definedName>
    <definedName name="sprterrs">'Sport Rifle'!$B$39:$B$44</definedName>
    <definedName name="sprtinds">'Sport Rifle'!$D$9:$D$38</definedName>
    <definedName name="sprtjs">'Sport Rifle'!$E$9:$E$38</definedName>
    <definedName name="sprtnms">'Sport Rifle'!$B$9:$B$38</definedName>
    <definedName name="sprttms">'Sport Rifle'!$F$9:$F$38</definedName>
    <definedName name="srbraavs">'Bench SR (Air)'!$C$9:$C$33</definedName>
    <definedName name="srbrachk">'Bench SR (Air)'!$G$9:$G$33</definedName>
    <definedName name="srbraerrs">'Bench SR (Air)'!$B$34:$B$39</definedName>
    <definedName name="srbrainds">'Bench SR (Air)'!$D$9:$D$33</definedName>
    <definedName name="srbrajs">'Bench SR (Air)'!$E$9:$E$33</definedName>
    <definedName name="srbranms">'Bench SR (Air)'!$B$9:$B$33</definedName>
    <definedName name="srbratms">'Bench SR (Air)'!$F$9:$F$33</definedName>
    <definedName name="srbrravs">'Bench SR (Rim)'!$C$9:$C$33</definedName>
    <definedName name="srbrrchk">'Bench SR (Rim)'!$G$9:$G$33</definedName>
    <definedName name="srbrrerrs">'Bench SR (Rim)'!$B$34:$B$39</definedName>
    <definedName name="srbrrinds">'Bench SR (Rim)'!$D$9:$D$33</definedName>
    <definedName name="srbrrjs">'Bench SR (Rim)'!$E$9:$E$33</definedName>
    <definedName name="srbrrnms">'Bench SR (Rim)'!$B$9:$B$33</definedName>
    <definedName name="srbrrtms">'Bench SR (Rim)'!$F$9:$F$33</definedName>
    <definedName name="srravs">'Short Range Rifle'!$C$9:$C$33</definedName>
    <definedName name="srrchk">'Short Range Rifle'!$G$9:$G$33</definedName>
    <definedName name="srrerrs">'Short Range Rifle'!$B$34:$B$39</definedName>
    <definedName name="srrinds">'Short Range Rifle'!$D$9:$D$33</definedName>
    <definedName name="srrjs">'Short Range Rifle'!$E$9:$E$33</definedName>
    <definedName name="srrnms">'Short Range Rifle'!$B$9:$B$33</definedName>
    <definedName name="srrtms">'Short Range Rifle'!$F$9:$F$33</definedName>
    <definedName name="stpavs" localSheetId="20">#REF!</definedName>
    <definedName name="stpavs">'SR Standard Pistol'!$C$9:$C$18</definedName>
    <definedName name="stperrs" localSheetId="20">#REF!</definedName>
    <definedName name="stperrs">'SR Standard Pistol'!$B$19:$B$20</definedName>
    <definedName name="stpjs" localSheetId="20">#REF!</definedName>
    <definedName name="stpjs">'SR Standard Pistol'!$D$9:$D$18</definedName>
    <definedName name="stpnms" localSheetId="20">#REF!</definedName>
    <definedName name="stpnms">'SR Standard Pistol'!$B$9:$B$18</definedName>
    <definedName name="summap">Summary!$B$12</definedName>
    <definedName name="summap20">Summary!$B$26</definedName>
    <definedName name="summap6">Summary!$B$30</definedName>
    <definedName name="summapsr">Summary!$B$16</definedName>
    <definedName name="summar">Summary!$B$19</definedName>
    <definedName name="summarsr">Summary!$B$23</definedName>
    <definedName name="summas100">Summary!$H$18</definedName>
    <definedName name="summBR100">Summary!$B$33</definedName>
    <definedName name="summdewr">Summary!$H$26</definedName>
    <definedName name="summgra">Summary!$B$49</definedName>
    <definedName name="summgri">Summary!$B$52</definedName>
    <definedName name="summis50">Summary!$H$22</definedName>
    <definedName name="summlbp">Summary!$H$15</definedName>
    <definedName name="summlbra">Summary!$B$55</definedName>
    <definedName name="summlbri">Summary!$H$12</definedName>
    <definedName name="summlrbr">Summary!$B$37</definedName>
    <definedName name="summmln">Summary!$H$30</definedName>
    <definedName name="summmlp">Summary!$H$33</definedName>
    <definedName name="summmlr">Summary!$H$36</definedName>
    <definedName name="summrfap">Summary!$H$39</definedName>
    <definedName name="summrfr">Summary!$H$42</definedName>
    <definedName name="summsprt">Summary!$H$49</definedName>
    <definedName name="summsrbra">Summary!$B$41</definedName>
    <definedName name="summsrbrr">Summary!$B$45</definedName>
    <definedName name="summsrr">Summary!$H$45</definedName>
    <definedName name="summstp">Summary!$H$53</definedName>
    <definedName name="teamscount">Summary!$D$64</definedName>
    <definedName name="teamsfees">Summary!$E$64</definedName>
    <definedName name="totfees">Summary!$E$65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4" l="1" a="1"/>
  <c r="D12" i="4" s="1"/>
  <c r="J53" i="4" l="1" a="1"/>
  <c r="J53" i="4" s="1"/>
  <c r="K53" i="4" s="1"/>
  <c r="J49" i="4" a="1"/>
  <c r="J49" i="4" s="1"/>
  <c r="K49" i="4" s="1"/>
  <c r="J45" i="4" a="1"/>
  <c r="J45" i="4" s="1"/>
  <c r="K45" i="4" s="1"/>
  <c r="J42" i="4" a="1"/>
  <c r="J42" i="4" s="1"/>
  <c r="K42" i="4" s="1"/>
  <c r="J39" i="4" a="1"/>
  <c r="J39" i="4" s="1"/>
  <c r="K39" i="4" s="1"/>
  <c r="J36" i="4" a="1"/>
  <c r="J36" i="4" s="1"/>
  <c r="K36" i="4" s="1"/>
  <c r="J33" i="4" a="1"/>
  <c r="J33" i="4" s="1"/>
  <c r="K33" i="4" s="1"/>
  <c r="J30" i="4" a="1"/>
  <c r="J30" i="4" s="1"/>
  <c r="K30" i="4" s="1"/>
  <c r="J26" i="4" a="1"/>
  <c r="J26" i="4" s="1"/>
  <c r="K26" i="4" s="1"/>
  <c r="J22" i="4" a="1"/>
  <c r="J22" i="4" s="1"/>
  <c r="K22" i="4" s="1"/>
  <c r="J18" i="4" a="1"/>
  <c r="J18" i="4" s="1"/>
  <c r="K18" i="4" s="1"/>
  <c r="J15" i="4" a="1"/>
  <c r="J15" i="4" s="1"/>
  <c r="K15" i="4" s="1"/>
  <c r="J12" i="4" a="1"/>
  <c r="J12" i="4" s="1"/>
  <c r="K12" i="4" s="1"/>
  <c r="D55" i="4" a="1"/>
  <c r="D55" i="4" s="1"/>
  <c r="E55" i="4" s="1"/>
  <c r="D52" i="4" a="1"/>
  <c r="D52" i="4" s="1"/>
  <c r="E52" i="4" s="1"/>
  <c r="D49" i="4" a="1"/>
  <c r="D49" i="4" s="1"/>
  <c r="E49" i="4" s="1"/>
  <c r="D45" i="4" a="1"/>
  <c r="D45" i="4" s="1"/>
  <c r="E45" i="4" s="1"/>
  <c r="D41" i="4" a="1"/>
  <c r="D41" i="4" s="1"/>
  <c r="E41" i="4" s="1"/>
  <c r="D37" i="4" a="1"/>
  <c r="D37" i="4" s="1"/>
  <c r="E37" i="4" s="1"/>
  <c r="D30" i="4" a="1"/>
  <c r="D30" i="4" s="1"/>
  <c r="E30" i="4" s="1"/>
  <c r="D26" i="4" a="1"/>
  <c r="D26" i="4" s="1"/>
  <c r="E26" i="4" s="1"/>
  <c r="D23" i="4" a="1"/>
  <c r="D23" i="4" s="1"/>
  <c r="E23" i="4" s="1"/>
  <c r="D19" i="4" a="1"/>
  <c r="D19" i="4" s="1"/>
  <c r="E19" i="4" s="1"/>
  <c r="D16" i="4" a="1"/>
  <c r="D16" i="4" s="1"/>
  <c r="E16" i="4" s="1"/>
  <c r="E12" i="4"/>
  <c r="D33" i="4" a="1"/>
  <c r="D33" i="4" s="1"/>
  <c r="E33" i="4" s="1"/>
  <c r="J55" i="4"/>
  <c r="K55" i="4" s="1"/>
  <c r="J54" i="4"/>
  <c r="K54" i="4" s="1"/>
  <c r="J52" i="4"/>
  <c r="K52" i="4" s="1"/>
  <c r="J51" i="4"/>
  <c r="K51" i="4" s="1"/>
  <c r="J50" i="4"/>
  <c r="K50" i="4" s="1"/>
  <c r="J48" i="4"/>
  <c r="K48" i="4" s="1"/>
  <c r="J47" i="4"/>
  <c r="K47" i="4" s="1"/>
  <c r="J46" i="4"/>
  <c r="K46" i="4" s="1"/>
  <c r="J44" i="4"/>
  <c r="K44" i="4" s="1"/>
  <c r="J43" i="4"/>
  <c r="K43" i="4" s="1"/>
  <c r="J41" i="4"/>
  <c r="K41" i="4" s="1"/>
  <c r="J40" i="4"/>
  <c r="K40" i="4" s="1"/>
  <c r="J38" i="4"/>
  <c r="K38" i="4" s="1"/>
  <c r="J37" i="4"/>
  <c r="K37" i="4" s="1"/>
  <c r="J35" i="4"/>
  <c r="K35" i="4" s="1"/>
  <c r="J34" i="4"/>
  <c r="K34" i="4" s="1"/>
  <c r="J32" i="4"/>
  <c r="K32" i="4" s="1"/>
  <c r="J31" i="4"/>
  <c r="K31" i="4" s="1"/>
  <c r="J29" i="4"/>
  <c r="K29" i="4" s="1"/>
  <c r="J28" i="4"/>
  <c r="K28" i="4" s="1"/>
  <c r="J27" i="4"/>
  <c r="K27" i="4" s="1"/>
  <c r="J25" i="4"/>
  <c r="K25" i="4" s="1"/>
  <c r="J24" i="4"/>
  <c r="K24" i="4" s="1"/>
  <c r="J23" i="4"/>
  <c r="K23" i="4" s="1"/>
  <c r="J21" i="4"/>
  <c r="K21" i="4" s="1"/>
  <c r="J20" i="4"/>
  <c r="K20" i="4" s="1"/>
  <c r="J19" i="4"/>
  <c r="K19" i="4" s="1"/>
  <c r="J17" i="4"/>
  <c r="K17" i="4" s="1"/>
  <c r="J16" i="4"/>
  <c r="K16" i="4" s="1"/>
  <c r="J14" i="4"/>
  <c r="K14" i="4" s="1"/>
  <c r="J13" i="4"/>
  <c r="K13" i="4" s="1"/>
  <c r="D13" i="4"/>
  <c r="E13" i="4" s="1"/>
  <c r="D14" i="4"/>
  <c r="E14" i="4" s="1"/>
  <c r="D15" i="4"/>
  <c r="E15" i="4" s="1"/>
  <c r="D17" i="4"/>
  <c r="E17" i="4" s="1"/>
  <c r="D18" i="4"/>
  <c r="E18" i="4" s="1"/>
  <c r="D20" i="4"/>
  <c r="E20" i="4" s="1"/>
  <c r="D21" i="4"/>
  <c r="E21" i="4" s="1"/>
  <c r="D22" i="4"/>
  <c r="E22" i="4" s="1"/>
  <c r="D24" i="4"/>
  <c r="E24" i="4" s="1"/>
  <c r="D25" i="4"/>
  <c r="E25" i="4" s="1"/>
  <c r="D27" i="4"/>
  <c r="E27" i="4" s="1"/>
  <c r="D28" i="4"/>
  <c r="E28" i="4" s="1"/>
  <c r="D29" i="4"/>
  <c r="E29" i="4" s="1"/>
  <c r="D31" i="4"/>
  <c r="E31" i="4" s="1"/>
  <c r="D32" i="4"/>
  <c r="E32" i="4" s="1"/>
  <c r="D34" i="4"/>
  <c r="E34" i="4" s="1"/>
  <c r="D35" i="4"/>
  <c r="E35" i="4" s="1"/>
  <c r="D36" i="4"/>
  <c r="E36" i="4" s="1"/>
  <c r="D38" i="4"/>
  <c r="E38" i="4" s="1"/>
  <c r="D39" i="4"/>
  <c r="E39" i="4" s="1"/>
  <c r="D40" i="4"/>
  <c r="E40" i="4" s="1"/>
  <c r="D42" i="4"/>
  <c r="E42" i="4" s="1"/>
  <c r="D43" i="4"/>
  <c r="E43" i="4" s="1"/>
  <c r="D44" i="4"/>
  <c r="E44" i="4" s="1"/>
  <c r="D46" i="4"/>
  <c r="E46" i="4" s="1"/>
  <c r="D47" i="4"/>
  <c r="E47" i="4" s="1"/>
  <c r="D48" i="4"/>
  <c r="E48" i="4" s="1"/>
  <c r="D50" i="4"/>
  <c r="E50" i="4" s="1"/>
  <c r="D51" i="4"/>
  <c r="E51" i="4" s="1"/>
  <c r="D53" i="4"/>
  <c r="E53" i="4" s="1"/>
  <c r="D54" i="4"/>
  <c r="E54" i="4" s="1"/>
  <c r="D56" i="4"/>
  <c r="E56" i="4" s="1"/>
  <c r="D57" i="4"/>
  <c r="E57" i="4" s="1"/>
  <c r="B33" i="278"/>
  <c r="B32" i="278"/>
  <c r="B31" i="278"/>
  <c r="B30" i="278"/>
  <c r="B29" i="278"/>
  <c r="B3" i="278"/>
  <c r="B2" i="278"/>
  <c r="G28" i="278"/>
  <c r="G27" i="278"/>
  <c r="G26" i="278"/>
  <c r="G25" i="278"/>
  <c r="G24" i="278"/>
  <c r="G23" i="278"/>
  <c r="G22" i="278"/>
  <c r="G21" i="278"/>
  <c r="G20" i="278"/>
  <c r="G19" i="278"/>
  <c r="G18" i="278"/>
  <c r="G17" i="278"/>
  <c r="G16" i="278"/>
  <c r="G15" i="278"/>
  <c r="G14" i="278"/>
  <c r="G13" i="278"/>
  <c r="G12" i="278"/>
  <c r="G11" i="278"/>
  <c r="G10" i="278"/>
  <c r="G9" i="278"/>
  <c r="B34" i="278" s="1"/>
  <c r="E64" i="4" l="1"/>
  <c r="D64" i="4"/>
  <c r="D4" i="278"/>
  <c r="H23" i="4"/>
  <c r="E63" i="4"/>
  <c r="E62" i="4"/>
  <c r="D63" i="4"/>
  <c r="D62" i="4"/>
  <c r="E61" i="4"/>
  <c r="D61" i="4"/>
  <c r="L15" i="4"/>
  <c r="L18" i="4"/>
  <c r="L12" i="4"/>
  <c r="L22" i="4"/>
  <c r="L33" i="4"/>
  <c r="L39" i="4"/>
  <c r="L45" i="4"/>
  <c r="L26" i="4"/>
  <c r="L53" i="4"/>
  <c r="F16" i="4"/>
  <c r="L30" i="4"/>
  <c r="L36" i="4"/>
  <c r="L42" i="4"/>
  <c r="L49" i="4"/>
  <c r="F52" i="4"/>
  <c r="F33" i="4"/>
  <c r="F26" i="4"/>
  <c r="F37" i="4"/>
  <c r="F55" i="4"/>
  <c r="F30" i="4"/>
  <c r="F49" i="4"/>
  <c r="F19" i="4"/>
  <c r="F41" i="4"/>
  <c r="F23" i="4"/>
  <c r="F45" i="4"/>
  <c r="F12" i="4"/>
  <c r="B33" i="276" l="1"/>
  <c r="B32" i="276"/>
  <c r="B31" i="276"/>
  <c r="B30" i="276"/>
  <c r="B29" i="276"/>
  <c r="B3" i="276"/>
  <c r="B2" i="276"/>
  <c r="G28" i="276"/>
  <c r="G27" i="276"/>
  <c r="G26" i="276"/>
  <c r="G25" i="276"/>
  <c r="G24" i="276"/>
  <c r="G23" i="276"/>
  <c r="G22" i="276"/>
  <c r="G21" i="276"/>
  <c r="G20" i="276"/>
  <c r="G19" i="276"/>
  <c r="G18" i="276"/>
  <c r="G17" i="276"/>
  <c r="G16" i="276"/>
  <c r="G15" i="276"/>
  <c r="G14" i="276"/>
  <c r="G13" i="276"/>
  <c r="G12" i="276"/>
  <c r="G11" i="276"/>
  <c r="G10" i="276"/>
  <c r="G9" i="276"/>
  <c r="B34" i="276" s="1"/>
  <c r="G27" i="275"/>
  <c r="G26" i="275"/>
  <c r="G25" i="275"/>
  <c r="G24" i="275"/>
  <c r="G23" i="275"/>
  <c r="G22" i="275"/>
  <c r="B33" i="275"/>
  <c r="B32" i="275"/>
  <c r="B31" i="275"/>
  <c r="B30" i="275"/>
  <c r="B29" i="275"/>
  <c r="B3" i="275"/>
  <c r="B2" i="275"/>
  <c r="G28" i="275"/>
  <c r="G21" i="275"/>
  <c r="G20" i="275"/>
  <c r="G19" i="275"/>
  <c r="G18" i="275"/>
  <c r="G17" i="275"/>
  <c r="G16" i="275"/>
  <c r="G15" i="275"/>
  <c r="G14" i="275"/>
  <c r="G13" i="275"/>
  <c r="G12" i="275"/>
  <c r="G11" i="275"/>
  <c r="G10" i="275"/>
  <c r="G9" i="275"/>
  <c r="B34" i="275" s="1"/>
  <c r="H19" i="4" l="1"/>
  <c r="H27" i="4"/>
  <c r="D4" i="276"/>
  <c r="D4" i="275"/>
  <c r="B20" i="273" l="1"/>
  <c r="B19" i="273"/>
  <c r="A3" i="273"/>
  <c r="A2" i="273"/>
  <c r="B20" i="272"/>
  <c r="B19" i="272"/>
  <c r="H43" i="4" s="1"/>
  <c r="A3" i="272"/>
  <c r="A2" i="272"/>
  <c r="B25" i="271"/>
  <c r="B24" i="271"/>
  <c r="H40" i="4" s="1"/>
  <c r="A3" i="271"/>
  <c r="A2" i="271"/>
  <c r="B25" i="270"/>
  <c r="B24" i="270"/>
  <c r="H37" i="4" s="1"/>
  <c r="A3" i="270"/>
  <c r="A2" i="270"/>
  <c r="B25" i="269"/>
  <c r="B24" i="269"/>
  <c r="A3" i="269"/>
  <c r="A2" i="269"/>
  <c r="B22" i="268"/>
  <c r="B21" i="268"/>
  <c r="A3" i="268"/>
  <c r="A2" i="268"/>
  <c r="B30" i="266"/>
  <c r="B29" i="266"/>
  <c r="A3" i="266"/>
  <c r="A2" i="266"/>
  <c r="B20" i="265"/>
  <c r="B19" i="265"/>
  <c r="H13" i="4" s="1"/>
  <c r="A3" i="265"/>
  <c r="A2" i="265"/>
  <c r="B20" i="264"/>
  <c r="B19" i="264"/>
  <c r="A3" i="264"/>
  <c r="A2" i="264"/>
  <c r="B30" i="263"/>
  <c r="B29" i="263"/>
  <c r="B53" i="4" s="1"/>
  <c r="A3" i="263"/>
  <c r="A2" i="263"/>
  <c r="B30" i="262"/>
  <c r="B29" i="262"/>
  <c r="B50" i="4" s="1"/>
  <c r="A3" i="262"/>
  <c r="A2" i="262"/>
  <c r="B20" i="261"/>
  <c r="B19" i="261"/>
  <c r="B31" i="4" s="1"/>
  <c r="A3" i="261"/>
  <c r="A2" i="261"/>
  <c r="B25" i="260"/>
  <c r="B24" i="260"/>
  <c r="A3" i="260"/>
  <c r="A2" i="260"/>
  <c r="B25" i="259"/>
  <c r="B24" i="259"/>
  <c r="A3" i="259"/>
  <c r="A2" i="259"/>
  <c r="B43" i="258"/>
  <c r="B42" i="258"/>
  <c r="B41" i="258"/>
  <c r="B40" i="258"/>
  <c r="B39" i="258"/>
  <c r="B3" i="258"/>
  <c r="B2" i="258"/>
  <c r="G38" i="258"/>
  <c r="G37" i="258"/>
  <c r="G36" i="258"/>
  <c r="G35" i="258"/>
  <c r="G34" i="258"/>
  <c r="G33" i="258"/>
  <c r="G32" i="258"/>
  <c r="G31" i="258"/>
  <c r="G30" i="258"/>
  <c r="G29" i="258"/>
  <c r="G28" i="258"/>
  <c r="G27" i="258"/>
  <c r="G26" i="258"/>
  <c r="G25" i="258"/>
  <c r="G24" i="258"/>
  <c r="G23" i="258"/>
  <c r="G22" i="258"/>
  <c r="G21" i="258"/>
  <c r="G20" i="258"/>
  <c r="G19" i="258"/>
  <c r="G18" i="258"/>
  <c r="G17" i="258"/>
  <c r="G16" i="258"/>
  <c r="G15" i="258"/>
  <c r="G14" i="258"/>
  <c r="G13" i="258"/>
  <c r="G12" i="258"/>
  <c r="G11" i="258"/>
  <c r="G10" i="258"/>
  <c r="G9" i="258"/>
  <c r="B38" i="257"/>
  <c r="B37" i="257"/>
  <c r="B36" i="257"/>
  <c r="B35" i="257"/>
  <c r="B34" i="257"/>
  <c r="B3" i="257"/>
  <c r="B2" i="257"/>
  <c r="G33" i="257"/>
  <c r="G32" i="257"/>
  <c r="G31" i="257"/>
  <c r="G30" i="257"/>
  <c r="G29" i="257"/>
  <c r="G28" i="257"/>
  <c r="G27" i="257"/>
  <c r="G26" i="257"/>
  <c r="G25" i="257"/>
  <c r="G24" i="257"/>
  <c r="G23" i="257"/>
  <c r="G22" i="257"/>
  <c r="G21" i="257"/>
  <c r="G20" i="257"/>
  <c r="G19" i="257"/>
  <c r="G18" i="257"/>
  <c r="G17" i="257"/>
  <c r="G16" i="257"/>
  <c r="G15" i="257"/>
  <c r="G14" i="257"/>
  <c r="G13" i="257"/>
  <c r="G12" i="257"/>
  <c r="G11" i="257"/>
  <c r="G10" i="257"/>
  <c r="G9" i="257"/>
  <c r="B38" i="255"/>
  <c r="B37" i="255"/>
  <c r="B36" i="255"/>
  <c r="B35" i="255"/>
  <c r="B34" i="255"/>
  <c r="B3" i="255"/>
  <c r="B2" i="255"/>
  <c r="G33" i="255"/>
  <c r="G32" i="255"/>
  <c r="G31" i="255"/>
  <c r="G30" i="255"/>
  <c r="G29" i="255"/>
  <c r="G28" i="255"/>
  <c r="G27" i="255"/>
  <c r="G26" i="255"/>
  <c r="G25" i="255"/>
  <c r="G24" i="255"/>
  <c r="G23" i="255"/>
  <c r="G22" i="255"/>
  <c r="G21" i="255"/>
  <c r="G20" i="255"/>
  <c r="G19" i="255"/>
  <c r="G18" i="255"/>
  <c r="G17" i="255"/>
  <c r="G16" i="255"/>
  <c r="G15" i="255"/>
  <c r="G14" i="255"/>
  <c r="G13" i="255"/>
  <c r="G12" i="255"/>
  <c r="G11" i="255"/>
  <c r="G10" i="255"/>
  <c r="G9" i="255"/>
  <c r="B38" i="254"/>
  <c r="B37" i="254"/>
  <c r="B36" i="254"/>
  <c r="B35" i="254"/>
  <c r="B34" i="254"/>
  <c r="B3" i="254"/>
  <c r="B2" i="254"/>
  <c r="G33" i="254"/>
  <c r="G32" i="254"/>
  <c r="G31" i="254"/>
  <c r="G30" i="254"/>
  <c r="G29" i="254"/>
  <c r="G28" i="254"/>
  <c r="G27" i="254"/>
  <c r="G26" i="254"/>
  <c r="G25" i="254"/>
  <c r="G24" i="254"/>
  <c r="G23" i="254"/>
  <c r="G22" i="254"/>
  <c r="G21" i="254"/>
  <c r="G20" i="254"/>
  <c r="G19" i="254"/>
  <c r="G18" i="254"/>
  <c r="G17" i="254"/>
  <c r="G16" i="254"/>
  <c r="G15" i="254"/>
  <c r="G14" i="254"/>
  <c r="G13" i="254"/>
  <c r="G12" i="254"/>
  <c r="G11" i="254"/>
  <c r="G10" i="254"/>
  <c r="G9" i="254"/>
  <c r="B39" i="254" s="1"/>
  <c r="B33" i="253"/>
  <c r="B32" i="253"/>
  <c r="B31" i="253"/>
  <c r="B30" i="253"/>
  <c r="B29" i="253"/>
  <c r="B3" i="253"/>
  <c r="B2" i="253"/>
  <c r="G28" i="253"/>
  <c r="G27" i="253"/>
  <c r="G26" i="253"/>
  <c r="G25" i="253"/>
  <c r="G24" i="253"/>
  <c r="G23" i="253"/>
  <c r="G22" i="253"/>
  <c r="G21" i="253"/>
  <c r="G20" i="253"/>
  <c r="G19" i="253"/>
  <c r="G18" i="253"/>
  <c r="G17" i="253"/>
  <c r="G16" i="253"/>
  <c r="G15" i="253"/>
  <c r="G14" i="253"/>
  <c r="G13" i="253"/>
  <c r="G12" i="253"/>
  <c r="G11" i="253"/>
  <c r="G10" i="253"/>
  <c r="G9" i="253"/>
  <c r="B34" i="253" s="1"/>
  <c r="B38" i="252"/>
  <c r="B37" i="252"/>
  <c r="B36" i="252"/>
  <c r="B35" i="252"/>
  <c r="B34" i="252"/>
  <c r="B3" i="252"/>
  <c r="B2" i="252"/>
  <c r="G33" i="252"/>
  <c r="G32" i="252"/>
  <c r="G31" i="252"/>
  <c r="G30" i="252"/>
  <c r="G29" i="252"/>
  <c r="G28" i="252"/>
  <c r="G27" i="252"/>
  <c r="G26" i="252"/>
  <c r="G25" i="252"/>
  <c r="G24" i="252"/>
  <c r="G23" i="252"/>
  <c r="G22" i="252"/>
  <c r="G21" i="252"/>
  <c r="G20" i="252"/>
  <c r="G19" i="252"/>
  <c r="G18" i="252"/>
  <c r="G17" i="252"/>
  <c r="G16" i="252"/>
  <c r="G15" i="252"/>
  <c r="G14" i="252"/>
  <c r="G13" i="252"/>
  <c r="G12" i="252"/>
  <c r="G11" i="252"/>
  <c r="G10" i="252"/>
  <c r="G9" i="252"/>
  <c r="B39" i="252" s="1"/>
  <c r="B33" i="251"/>
  <c r="B32" i="251"/>
  <c r="B31" i="251"/>
  <c r="B30" i="251"/>
  <c r="B29" i="251"/>
  <c r="B3" i="251"/>
  <c r="B2" i="251"/>
  <c r="G28" i="251"/>
  <c r="G27" i="251"/>
  <c r="G26" i="251"/>
  <c r="G25" i="251"/>
  <c r="G24" i="251"/>
  <c r="G23" i="251"/>
  <c r="G22" i="251"/>
  <c r="G21" i="251"/>
  <c r="G20" i="251"/>
  <c r="G19" i="251"/>
  <c r="G18" i="251"/>
  <c r="G17" i="251"/>
  <c r="G16" i="251"/>
  <c r="G15" i="251"/>
  <c r="G14" i="251"/>
  <c r="G13" i="251"/>
  <c r="G12" i="251"/>
  <c r="G11" i="251"/>
  <c r="G10" i="251"/>
  <c r="G9" i="251"/>
  <c r="B28" i="250"/>
  <c r="B27" i="250"/>
  <c r="B26" i="250"/>
  <c r="B25" i="250"/>
  <c r="B24" i="250"/>
  <c r="B3" i="250"/>
  <c r="B2" i="250"/>
  <c r="G23" i="250"/>
  <c r="G22" i="250"/>
  <c r="G21" i="250"/>
  <c r="G20" i="250"/>
  <c r="G19" i="250"/>
  <c r="G18" i="250"/>
  <c r="G17" i="250"/>
  <c r="G16" i="250"/>
  <c r="G15" i="250"/>
  <c r="G14" i="250"/>
  <c r="G13" i="250"/>
  <c r="G12" i="250"/>
  <c r="G11" i="250"/>
  <c r="G10" i="250"/>
  <c r="G9" i="250"/>
  <c r="B29" i="250" s="1"/>
  <c r="B38" i="249"/>
  <c r="B37" i="249"/>
  <c r="B36" i="249"/>
  <c r="B35" i="249"/>
  <c r="B34" i="249"/>
  <c r="B3" i="249"/>
  <c r="B2" i="249"/>
  <c r="G33" i="249"/>
  <c r="G32" i="249"/>
  <c r="G31" i="249"/>
  <c r="G30" i="249"/>
  <c r="G29" i="249"/>
  <c r="G28" i="249"/>
  <c r="G27" i="249"/>
  <c r="G26" i="249"/>
  <c r="G25" i="249"/>
  <c r="G24" i="249"/>
  <c r="G23" i="249"/>
  <c r="G22" i="249"/>
  <c r="G21" i="249"/>
  <c r="G20" i="249"/>
  <c r="G19" i="249"/>
  <c r="G18" i="249"/>
  <c r="G17" i="249"/>
  <c r="G16" i="249"/>
  <c r="G15" i="249"/>
  <c r="G14" i="249"/>
  <c r="G13" i="249"/>
  <c r="G12" i="249"/>
  <c r="G11" i="249"/>
  <c r="G10" i="249"/>
  <c r="G9" i="249"/>
  <c r="C4" i="262"/>
  <c r="L41" i="33"/>
  <c r="D39" i="33"/>
  <c r="D40" i="33"/>
  <c r="D41" i="33"/>
  <c r="D38" i="33"/>
  <c r="L38" i="33"/>
  <c r="B29" i="33"/>
  <c r="F26" i="33"/>
  <c r="B26" i="33"/>
  <c r="E41" i="33"/>
  <c r="E38" i="33"/>
  <c r="E40" i="33"/>
  <c r="B63" i="4"/>
  <c r="B61" i="4"/>
  <c r="B62" i="4"/>
  <c r="E39" i="33"/>
  <c r="B64" i="4"/>
  <c r="B3" i="4"/>
  <c r="B2" i="4"/>
  <c r="H31" i="4" l="1"/>
  <c r="C4" i="271"/>
  <c r="H16" i="4"/>
  <c r="B39" i="255"/>
  <c r="B46" i="4" s="1"/>
  <c r="B34" i="251"/>
  <c r="D4" i="251" s="1"/>
  <c r="B39" i="249"/>
  <c r="D4" i="249" s="1"/>
  <c r="H34" i="4"/>
  <c r="B24" i="4"/>
  <c r="B44" i="258"/>
  <c r="H50" i="4" s="1"/>
  <c r="B39" i="257"/>
  <c r="D4" i="257" s="1"/>
  <c r="C4" i="266"/>
  <c r="B56" i="4"/>
  <c r="B17" i="4"/>
  <c r="B42" i="4"/>
  <c r="B38" i="4"/>
  <c r="B34" i="4"/>
  <c r="B20" i="4"/>
  <c r="H54" i="4"/>
  <c r="C4" i="270"/>
  <c r="C4" i="269"/>
  <c r="C4" i="260"/>
  <c r="C4" i="272"/>
  <c r="D4" i="250"/>
  <c r="C4" i="264"/>
  <c r="D4" i="253"/>
  <c r="D4" i="254"/>
  <c r="C4" i="259"/>
  <c r="C4" i="261"/>
  <c r="C4" i="263"/>
  <c r="C4" i="265"/>
  <c r="C4" i="268"/>
  <c r="C4" i="273"/>
  <c r="D4" i="252"/>
  <c r="L40" i="33"/>
  <c r="L39" i="33"/>
  <c r="E65" i="4"/>
  <c r="L42" i="33" s="1"/>
  <c r="D4" i="255" l="1"/>
  <c r="B27" i="4"/>
  <c r="B13" i="4"/>
  <c r="H16" i="33" s="1"/>
  <c r="D4" i="258"/>
  <c r="H4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29481E5F-2506-4730-80D7-E5BE577330F7}">
      <text>
        <r>
          <rPr>
            <sz val="9"/>
            <color indexed="81"/>
            <rFont val="Tahoma"/>
            <family val="2"/>
          </rPr>
          <t>To check the conditions of shooting this comp, find it in the 'Conditions' sheet.</t>
        </r>
      </text>
    </comment>
    <comment ref="B8" authorId="0" shapeId="0" xr:uid="{CFAF118E-BDBA-4C58-821F-A40010371332}">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629ED672-221E-4B1B-8897-B8396ED1515B}">
      <text>
        <r>
          <rPr>
            <sz val="9"/>
            <color indexed="81"/>
            <rFont val="Tahoma"/>
            <family val="2"/>
          </rPr>
          <t>Insert the entrant's 'points on' average score out of the maximum given, to one decimal place.</t>
        </r>
      </text>
    </comment>
    <comment ref="D8" authorId="0" shapeId="0" xr:uid="{8873A564-7055-4420-AB2D-0AAA45100DFA}">
      <text>
        <r>
          <rPr>
            <sz val="9"/>
            <color indexed="81"/>
            <rFont val="Tahoma"/>
            <family val="2"/>
          </rPr>
          <t>Insert an 'x' to enter the Individual competition (upper or lower case). Must be given for all Individual entries including Jun &amp; Sen entries.</t>
        </r>
      </text>
    </comment>
    <comment ref="E8" authorId="0" shapeId="0" xr:uid="{66928BAC-BFD9-4DB5-A976-B9B676954E8D}">
      <text>
        <r>
          <rPr>
            <sz val="9"/>
            <color indexed="81"/>
            <rFont val="Tahoma"/>
            <family val="2"/>
          </rPr>
          <t>Insert 'j' or 's' to enter the Junior or Senior competition (upper or lower case). Enter 'x' in the Open Individual column too.</t>
        </r>
      </text>
    </comment>
    <comment ref="F8" authorId="0" shapeId="0" xr:uid="{C86D617F-19EE-4544-9A9E-065A6B20A8A9}">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0BBEBCF3-E3D2-443D-8F26-51D43D64868B}">
      <text>
        <r>
          <rPr>
            <sz val="9"/>
            <color indexed="81"/>
            <rFont val="Tahoma"/>
            <family val="2"/>
          </rPr>
          <t>To check the conditions of shooting this comp, find it in the 'Conditions' sheet.</t>
        </r>
      </text>
    </comment>
    <comment ref="B8" authorId="0" shapeId="0" xr:uid="{850AAA55-2F76-4882-A35B-CA1B71DF0B11}">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30C98113-86C4-4B86-83A7-6C81A3700EB6}">
      <text>
        <r>
          <rPr>
            <sz val="9"/>
            <color indexed="81"/>
            <rFont val="Tahoma"/>
            <family val="2"/>
          </rPr>
          <t>Insert the entrant's 'points on' average score out of the maximum given, to one decimal place.</t>
        </r>
      </text>
    </comment>
    <comment ref="D8" authorId="0" shapeId="0" xr:uid="{7A3967C9-51B1-4321-851D-A952CE89ACE3}">
      <text>
        <r>
          <rPr>
            <sz val="9"/>
            <color indexed="81"/>
            <rFont val="Tahoma"/>
            <family val="2"/>
          </rPr>
          <t>Insert an 'x' to enter the Individual competition (upper or lower case). Must be given for all Individual entries including Jun &amp; Sen entries.</t>
        </r>
      </text>
    </comment>
    <comment ref="E8" authorId="0" shapeId="0" xr:uid="{34078CE3-4BC1-45EF-9EB4-042C42061D39}">
      <text>
        <r>
          <rPr>
            <sz val="9"/>
            <color indexed="81"/>
            <rFont val="Tahoma"/>
            <family val="2"/>
          </rPr>
          <t>Insert 'j' or 's' to enter the Junior or Senior competition (upper or lower case). Enter 'x' in the Open Individual column too.</t>
        </r>
      </text>
    </comment>
    <comment ref="F8" authorId="0" shapeId="0" xr:uid="{3FDCDEA1-4D3D-4473-A3BD-C5967DFAC6C6}">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B46EF88E-C727-4B99-8620-BB4336A2C9FB}">
      <text>
        <r>
          <rPr>
            <sz val="9"/>
            <color indexed="81"/>
            <rFont val="Tahoma"/>
            <family val="2"/>
          </rPr>
          <t>To check the conditions of shooting this comp, find it in the 'Conditions' sheet.</t>
        </r>
      </text>
    </comment>
    <comment ref="B8" authorId="0" shapeId="0" xr:uid="{7C4E55F5-4AEE-4F45-87B4-5C47ADF19567}">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97E732E9-D029-426F-96D6-1FA891A2A90F}">
      <text>
        <r>
          <rPr>
            <sz val="9"/>
            <color indexed="81"/>
            <rFont val="Tahoma"/>
            <family val="2"/>
          </rPr>
          <t>Insert the entrant's 'points on' average score out of the maximum given, to one decimal place.</t>
        </r>
      </text>
    </comment>
    <comment ref="D8" authorId="0" shapeId="0" xr:uid="{E740641F-DADA-4981-B807-E32DF9E0ED76}">
      <text>
        <r>
          <rPr>
            <sz val="9"/>
            <color indexed="81"/>
            <rFont val="Tahoma"/>
            <family val="2"/>
          </rPr>
          <t>Insert 'j' or 's' to enter the Junior or Senior competition (upper or lower case).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8A668D42-7FCE-4DA4-B69C-F72ABEBF6A2F}">
      <text>
        <r>
          <rPr>
            <sz val="9"/>
            <color indexed="81"/>
            <rFont val="Tahoma"/>
            <family val="2"/>
          </rPr>
          <t>To check the conditions of shooting this comp, find it in the 'Conditions' sheet.</t>
        </r>
      </text>
    </comment>
    <comment ref="B8" authorId="0" shapeId="0" xr:uid="{5EBB0B90-247C-4F8F-86DA-A4BF0953D276}">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069EFC5E-83C4-4302-93EA-1B8113A14800}">
      <text>
        <r>
          <rPr>
            <sz val="9"/>
            <color indexed="81"/>
            <rFont val="Tahoma"/>
            <family val="2"/>
          </rPr>
          <t>Insert the entrant's 'points on' average score out of the maximum given, to one decimal place.</t>
        </r>
      </text>
    </comment>
    <comment ref="D8" authorId="0" shapeId="0" xr:uid="{FB6D86CE-833F-49CB-86DA-8D7B7EE5ADD9}">
      <text>
        <r>
          <rPr>
            <sz val="9"/>
            <color indexed="81"/>
            <rFont val="Tahoma"/>
            <family val="2"/>
          </rPr>
          <t>Insert 'j' or 's' to enter the Junior or Senior competition (upper or lower case).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EBD884EA-5D4B-491C-842A-48F9AF86DE49}">
      <text>
        <r>
          <rPr>
            <sz val="9"/>
            <color indexed="81"/>
            <rFont val="Tahoma"/>
            <family val="2"/>
          </rPr>
          <t>To check the conditions of shooting this comp, find it in the 'Conditions' sheet.</t>
        </r>
      </text>
    </comment>
    <comment ref="B8" authorId="0" shapeId="0" xr:uid="{F190B1B1-9AB9-4CAA-94DA-BB62E4A0DAD8}">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6EAC32D4-962C-4FAC-92A5-50512CB3EFCC}">
      <text>
        <r>
          <rPr>
            <sz val="9"/>
            <color indexed="81"/>
            <rFont val="Tahoma"/>
            <family val="2"/>
          </rPr>
          <t>Insert the entrant's 'points on' average score out of the maximum given, to one decimal place.</t>
        </r>
      </text>
    </comment>
    <comment ref="D8" authorId="0" shapeId="0" xr:uid="{950C84D6-4746-4C9B-92B2-9B713FCC4D01}">
      <text>
        <r>
          <rPr>
            <sz val="9"/>
            <color indexed="81"/>
            <rFont val="Tahoma"/>
            <family val="2"/>
          </rPr>
          <t>Insert 'j' or 's' to enter the Junior or Senior competition (upper or lower case).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4E0E0DDE-6C31-4F12-B15B-975BF6485BDC}">
      <text>
        <r>
          <rPr>
            <sz val="9"/>
            <color indexed="81"/>
            <rFont val="Tahoma"/>
            <family val="2"/>
          </rPr>
          <t>To check the conditions of shooting this comp, find it in the 'Conditions' sheet.</t>
        </r>
      </text>
    </comment>
    <comment ref="B8" authorId="0" shapeId="0" xr:uid="{D77CBCA6-7CB7-4FD2-A92C-CD1AF372C827}">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45B8E583-A318-405E-BF78-1646EE053481}">
      <text>
        <r>
          <rPr>
            <sz val="9"/>
            <color indexed="81"/>
            <rFont val="Tahoma"/>
            <family val="2"/>
          </rPr>
          <t>Insert the entrant's 'points on' average score out of the maximum given, to one decimal place.</t>
        </r>
      </text>
    </comment>
    <comment ref="D8" authorId="0" shapeId="0" xr:uid="{DA4EB268-B994-4C93-BFE5-4C8F71B792F2}">
      <text>
        <r>
          <rPr>
            <sz val="9"/>
            <color indexed="81"/>
            <rFont val="Tahoma"/>
            <family val="2"/>
          </rPr>
          <t>Insert 'j' or 's' to enter the Junior or Senior competition (upper or lower case).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256ABF1F-7BE7-4121-937B-2D3DEA0EEE98}">
      <text>
        <r>
          <rPr>
            <sz val="9"/>
            <color indexed="81"/>
            <rFont val="Tahoma"/>
            <family val="2"/>
          </rPr>
          <t>To check the conditions of shooting this comp, find it in the 'Conditions' sheet.</t>
        </r>
      </text>
    </comment>
    <comment ref="B8" authorId="0" shapeId="0" xr:uid="{527773B9-A1A4-4875-8D55-EC062F09BC48}">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FABC57EA-873B-4CC0-A910-45024EC67502}">
      <text>
        <r>
          <rPr>
            <sz val="9"/>
            <color indexed="81"/>
            <rFont val="Tahoma"/>
            <family val="2"/>
          </rPr>
          <t>Insert the entrant's 'points on' average score out of the maximum given, to one decimal place.</t>
        </r>
      </text>
    </comment>
    <comment ref="D8" authorId="0" shapeId="0" xr:uid="{AE85F18B-67AC-4A7F-B137-DD0A67AB0463}">
      <text>
        <r>
          <rPr>
            <sz val="9"/>
            <color indexed="81"/>
            <rFont val="Tahoma"/>
            <family val="2"/>
          </rPr>
          <t>Insert 'j' or 's' to enter the Junior or Senior competition (upper or lower case).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02DF041A-6CC0-4E12-BB79-A4E6FDFFD639}">
      <text>
        <r>
          <rPr>
            <sz val="9"/>
            <color indexed="81"/>
            <rFont val="Tahoma"/>
            <family val="2"/>
          </rPr>
          <t>To check the conditions of shooting this comp, find it in the 'Conditions' sheet.</t>
        </r>
      </text>
    </comment>
    <comment ref="B8" authorId="0" shapeId="0" xr:uid="{839A7A66-B917-47E6-A9B0-84D54FE7F6A9}">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AF5FFAC4-FAD1-45B3-B500-EC08B4001B7E}">
      <text>
        <r>
          <rPr>
            <sz val="9"/>
            <color indexed="81"/>
            <rFont val="Tahoma"/>
            <family val="2"/>
          </rPr>
          <t>Insert the entrant's 'points on' average score out of the maximum given, to one decimal place.</t>
        </r>
      </text>
    </comment>
    <comment ref="D8" authorId="0" shapeId="0" xr:uid="{E6400745-A137-46B0-9ACB-309CE40E18E8}">
      <text>
        <r>
          <rPr>
            <sz val="9"/>
            <color indexed="81"/>
            <rFont val="Tahoma"/>
            <family val="2"/>
          </rPr>
          <t>Insert an 'x' to enter the Individual competition (upper or lower case). Must be given for all Individual entries including Jun &amp; Sen entries.</t>
        </r>
      </text>
    </comment>
    <comment ref="E8" authorId="0" shapeId="0" xr:uid="{93DE66AB-F184-4406-95B3-339FE3383789}">
      <text>
        <r>
          <rPr>
            <sz val="9"/>
            <color indexed="81"/>
            <rFont val="Tahoma"/>
            <family val="2"/>
          </rPr>
          <t>Insert 'j' or 's' to enter the Junior or Senior competition (upper or lower case). Enter 'x' in the Open Individual column too.</t>
        </r>
      </text>
    </comment>
    <comment ref="F8" authorId="0" shapeId="0" xr:uid="{1328520F-95E4-4680-8BB0-26072DC606EC}">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7CD82228-189C-44B5-8B90-0C395D0FA702}">
      <text>
        <r>
          <rPr>
            <sz val="9"/>
            <color indexed="81"/>
            <rFont val="Tahoma"/>
            <family val="2"/>
          </rPr>
          <t>To check the conditions of shooting this comp, find it in the 'Conditions' sheet.</t>
        </r>
      </text>
    </comment>
    <comment ref="B8" authorId="0" shapeId="0" xr:uid="{27BCDE94-F3C5-4818-9BDD-793B1E8D67BB}">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5FCD13AD-853F-4671-B190-14E23E98A09B}">
      <text>
        <r>
          <rPr>
            <sz val="9"/>
            <color indexed="81"/>
            <rFont val="Tahoma"/>
            <family val="2"/>
          </rPr>
          <t>Insert the entrant's 'points on' average score out of the maximum given, to one decimal place.</t>
        </r>
      </text>
    </comment>
    <comment ref="D8" authorId="0" shapeId="0" xr:uid="{1AC4CEB6-65C1-4D0B-901B-932925EC0B2D}">
      <text>
        <r>
          <rPr>
            <sz val="9"/>
            <color indexed="81"/>
            <rFont val="Tahoma"/>
            <family val="2"/>
          </rPr>
          <t>Insert an 'x' to enter the Individual competition (upper or lower case). Must be given for all Individual entries including Jun &amp; Sen entries.</t>
        </r>
      </text>
    </comment>
    <comment ref="E8" authorId="0" shapeId="0" xr:uid="{E8343A43-6F0E-48A7-9BC7-6FD32B26BBBC}">
      <text>
        <r>
          <rPr>
            <sz val="9"/>
            <color indexed="81"/>
            <rFont val="Tahoma"/>
            <family val="2"/>
          </rPr>
          <t>Insert 'j' or 's' to enter the Junior or Senior competition (upper or lower case). Enter 'x' in the Open Individual column too.</t>
        </r>
      </text>
    </comment>
    <comment ref="F8" authorId="0" shapeId="0" xr:uid="{8840B602-0EBD-46C9-BD75-6193948887C5}">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7DBAF595-ABF0-4E54-A3BB-7A92F1EDABB4}">
      <text>
        <r>
          <rPr>
            <sz val="9"/>
            <color indexed="81"/>
            <rFont val="Tahoma"/>
            <family val="2"/>
          </rPr>
          <t>To check the conditions of shooting this comp, find it in the 'Conditions' sheet.</t>
        </r>
      </text>
    </comment>
    <comment ref="B8" authorId="0" shapeId="0" xr:uid="{B090CDB0-83A5-4416-8203-C59EE1DECAA0}">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DC0AAE30-0299-4BBD-97AF-9E2CBA2E4A84}">
      <text>
        <r>
          <rPr>
            <sz val="9"/>
            <color indexed="81"/>
            <rFont val="Tahoma"/>
            <family val="2"/>
          </rPr>
          <t>Insert the entrant's 'points on' indoor average score out of 100. If no indoor average is available, use an outdoor average (</t>
        </r>
        <r>
          <rPr>
            <b/>
            <sz val="9"/>
            <color indexed="81"/>
            <rFont val="Tahoma"/>
            <family val="2"/>
          </rPr>
          <t>preferably over Dewar courses</t>
        </r>
        <r>
          <rPr>
            <sz val="9"/>
            <color indexed="81"/>
            <rFont val="Tahoma"/>
            <family val="2"/>
          </rPr>
          <t>) adjusted to be ex100. To one decimal place.</t>
        </r>
      </text>
    </comment>
    <comment ref="D8" authorId="0" shapeId="0" xr:uid="{45DCDC33-374B-4146-82E6-0F0E888F56D0}">
      <text>
        <r>
          <rPr>
            <sz val="9"/>
            <color indexed="81"/>
            <rFont val="Tahoma"/>
            <family val="2"/>
          </rPr>
          <t>Insert an 'x' to enter the Individual competition (upper or lower case). Must be given for all Individual entries including Jun &amp; Sen entries.</t>
        </r>
      </text>
    </comment>
    <comment ref="E8" authorId="0" shapeId="0" xr:uid="{6E00FF90-783D-4BC4-ADB4-04197C5E376F}">
      <text>
        <r>
          <rPr>
            <sz val="9"/>
            <color indexed="81"/>
            <rFont val="Tahoma"/>
            <family val="2"/>
          </rPr>
          <t>Insert 'j' or 's' to enter the Junior or Senior competition (upper or lower case). Enter 'x' in the Open Individual column too.</t>
        </r>
      </text>
    </comment>
    <comment ref="F8" authorId="0" shapeId="0" xr:uid="{ACB48B25-94A5-49E0-BF63-62ABAAD1C9A1}">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0ECCAD8F-F4D7-460C-90FC-665C6A2C1F7D}">
      <text>
        <r>
          <rPr>
            <sz val="9"/>
            <color indexed="81"/>
            <rFont val="Tahoma"/>
            <family val="2"/>
          </rPr>
          <t>To check the conditions of shooting this comp, find it in the 'Conditions' sheet.</t>
        </r>
      </text>
    </comment>
    <comment ref="B8" authorId="0" shapeId="0" xr:uid="{3B1E6EF9-5398-4885-93F2-F8EE775DF0E6}">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BC03A3D2-EC54-4975-9D52-3F9DC3E44FE2}">
      <text>
        <r>
          <rPr>
            <sz val="9"/>
            <color indexed="81"/>
            <rFont val="Tahoma"/>
            <family val="2"/>
          </rPr>
          <t>Insert the entrant's 'points on' average score out of the maximum given, to one decimal place.</t>
        </r>
      </text>
    </comment>
    <comment ref="D8" authorId="0" shapeId="0" xr:uid="{4E1F0CCB-FE5C-47F8-9218-8D060C77D9BD}">
      <text>
        <r>
          <rPr>
            <sz val="9"/>
            <color indexed="81"/>
            <rFont val="Tahoma"/>
            <family val="2"/>
          </rPr>
          <t>Insert 'j' or 's' to enter the Junior or Senior competition (upper or lower case).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E7AFAC45-57D2-48A7-9A49-DE123A857F3E}">
      <text>
        <r>
          <rPr>
            <sz val="9"/>
            <color indexed="81"/>
            <rFont val="Tahoma"/>
            <family val="2"/>
          </rPr>
          <t>To check the conditions of shooting this comp, find it in the 'Conditions' sheet.</t>
        </r>
      </text>
    </comment>
    <comment ref="B8" authorId="0" shapeId="0" xr:uid="{C9494F86-4AA6-4C11-B3F8-DBACA5AA6778}">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E066AABF-EC9B-4529-8C4A-1F52B076808D}">
      <text>
        <r>
          <rPr>
            <sz val="9"/>
            <color indexed="81"/>
            <rFont val="Tahoma"/>
            <family val="2"/>
          </rPr>
          <t>Insert the entrant's 'points on' average score out of the maximum given, to one decimal place.</t>
        </r>
      </text>
    </comment>
    <comment ref="D8" authorId="0" shapeId="0" xr:uid="{CDB367C2-239C-4F20-A743-CFABB488C356}">
      <text>
        <r>
          <rPr>
            <sz val="9"/>
            <color indexed="81"/>
            <rFont val="Tahoma"/>
            <family val="2"/>
          </rPr>
          <t>Insert 'j' or 's' to enter the Junior or Senior competition (upper or lower case).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33DD4E27-212E-4668-97D7-3ACA3E572345}">
      <text>
        <r>
          <rPr>
            <sz val="9"/>
            <color indexed="81"/>
            <rFont val="Tahoma"/>
            <family val="2"/>
          </rPr>
          <t>To check the conditions of shooting this comp, find it in the 'Conditions' sheet.</t>
        </r>
      </text>
    </comment>
    <comment ref="B8" authorId="0" shapeId="0" xr:uid="{B0E76EC6-A1B1-4040-B128-86705F6BC9A7}">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65F819ED-A6BC-49C2-9707-A07091A26A5E}">
      <text>
        <r>
          <rPr>
            <sz val="9"/>
            <color indexed="81"/>
            <rFont val="Tahoma"/>
            <family val="2"/>
          </rPr>
          <t>Insert the entrant's 'points on' average score out of the maximum given, to one decimal place.</t>
        </r>
      </text>
    </comment>
    <comment ref="D8" authorId="0" shapeId="0" xr:uid="{C9B67553-F860-4B10-8FC8-78E547264984}">
      <text>
        <r>
          <rPr>
            <sz val="9"/>
            <color indexed="81"/>
            <rFont val="Tahoma"/>
            <family val="2"/>
          </rPr>
          <t>Insert 'j' or 's' to enter the Junior or Senior competition (upper or lower case).</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15A66610-6CDB-48D2-B941-09ADD099BB47}">
      <text>
        <r>
          <rPr>
            <sz val="9"/>
            <color indexed="81"/>
            <rFont val="Tahoma"/>
            <family val="2"/>
          </rPr>
          <t>To check the conditions of shooting this comp, find it in the 'Conditions' sheet.</t>
        </r>
      </text>
    </comment>
    <comment ref="B8" authorId="0" shapeId="0" xr:uid="{21CA0CC9-8862-49A5-8CB9-FA1410DBA4C1}">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E939A54E-577D-44F7-92FC-E43FA376421F}">
      <text>
        <r>
          <rPr>
            <sz val="9"/>
            <color indexed="81"/>
            <rFont val="Tahoma"/>
            <family val="2"/>
          </rPr>
          <t>Insert the entrant's 'points on' average score out of the maximum given, to one decimal place.</t>
        </r>
      </text>
    </comment>
    <comment ref="D8" authorId="0" shapeId="0" xr:uid="{E55827A1-FAFD-45E2-AB24-9DED6F7F5307}">
      <text>
        <r>
          <rPr>
            <sz val="9"/>
            <color indexed="81"/>
            <rFont val="Tahoma"/>
            <family val="2"/>
          </rPr>
          <t>Insert 'j' or 's' to enter the Junior or Senior competition (upper or lower case).</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D8FA528F-4665-4CE6-8F8C-C35E12E36BE6}">
      <text>
        <r>
          <rPr>
            <sz val="9"/>
            <color indexed="81"/>
            <rFont val="Tahoma"/>
            <family val="2"/>
          </rPr>
          <t>To check the conditions of shooting this comp, find it in the 'Conditions' sheet.</t>
        </r>
      </text>
    </comment>
    <comment ref="B8" authorId="0" shapeId="0" xr:uid="{FC888181-6753-4967-8187-B49E9AE3845D}">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F8CC2058-EEC6-45B4-A452-B1BC4925BBDF}">
      <text>
        <r>
          <rPr>
            <sz val="9"/>
            <color indexed="81"/>
            <rFont val="Tahoma"/>
            <family val="2"/>
          </rPr>
          <t>Insert the entrant's 'points on' average score out of the maximum given, to one decimal place.</t>
        </r>
      </text>
    </comment>
    <comment ref="D8" authorId="0" shapeId="0" xr:uid="{93FEA310-A462-4E40-BA77-0284687C3458}">
      <text>
        <r>
          <rPr>
            <sz val="9"/>
            <color indexed="81"/>
            <rFont val="Tahoma"/>
            <family val="2"/>
          </rPr>
          <t>Insert 'j' or 's' to enter the Junior or Senior competition (upper or lower case).</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12A665E8-C039-4B95-B105-0CE9EEBC7D8E}">
      <text>
        <r>
          <rPr>
            <sz val="9"/>
            <color indexed="81"/>
            <rFont val="Tahoma"/>
            <family val="2"/>
          </rPr>
          <t>To check the conditions of shooting this comp, find it in the 'Conditions' sheet.</t>
        </r>
      </text>
    </comment>
    <comment ref="B8" authorId="0" shapeId="0" xr:uid="{3719DA94-859E-454A-AA84-2135162B27DC}">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095AE9E5-C2B8-4EA2-A3E8-B9D404444067}">
      <text>
        <r>
          <rPr>
            <sz val="9"/>
            <color indexed="81"/>
            <rFont val="Tahoma"/>
            <family val="2"/>
          </rPr>
          <t>Insert the entrant's 'points on' average score out of the maximum given, to one decimal place.</t>
        </r>
      </text>
    </comment>
    <comment ref="D8" authorId="0" shapeId="0" xr:uid="{F95F6F28-1BF5-4F11-A7BA-F1F326E84EF9}">
      <text>
        <r>
          <rPr>
            <sz val="9"/>
            <color indexed="81"/>
            <rFont val="Tahoma"/>
            <family val="2"/>
          </rPr>
          <t>Insert 'j' or 's' to enter the Junior or Senior competition (upper or lower case).</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2AE94710-F183-475E-A095-200B1845AC1A}">
      <text>
        <r>
          <rPr>
            <sz val="9"/>
            <color indexed="81"/>
            <rFont val="Tahoma"/>
            <family val="2"/>
          </rPr>
          <t>To check the conditions of shooting this comp, find it in the 'Conditions' sheet.</t>
        </r>
      </text>
    </comment>
    <comment ref="B8" authorId="0" shapeId="0" xr:uid="{D8F2E53D-E8FE-41FC-85A0-D0420C1C8D97}">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84610FBA-8A1F-4581-9D71-C3C92FF93F7A}">
      <text>
        <r>
          <rPr>
            <sz val="9"/>
            <color indexed="81"/>
            <rFont val="Tahoma"/>
            <family val="2"/>
          </rPr>
          <t>Insert the entrant's 'points on' average score out of the maximum given, to one decimal place.</t>
        </r>
      </text>
    </comment>
    <comment ref="D8" authorId="0" shapeId="0" xr:uid="{DF1BC6F2-9C7C-4593-B56B-DACA76787358}">
      <text>
        <r>
          <rPr>
            <sz val="9"/>
            <color indexed="81"/>
            <rFont val="Tahoma"/>
            <family val="2"/>
          </rPr>
          <t>Insert an 'x' to enter the Individual competition (upper or lower case). Must be given for all Individual entries including Jun &amp; Sen entries.</t>
        </r>
      </text>
    </comment>
    <comment ref="E8" authorId="0" shapeId="0" xr:uid="{0F1D0C87-F74B-43EB-8EB2-7E2DF57F7168}">
      <text>
        <r>
          <rPr>
            <sz val="9"/>
            <color indexed="81"/>
            <rFont val="Tahoma"/>
            <family val="2"/>
          </rPr>
          <t>Insert 'j' or 's' to enter the Junior or Senior competition (upper or lower case). Enter 'x' in the Open Individual column too.</t>
        </r>
      </text>
    </comment>
    <comment ref="F8" authorId="0" shapeId="0" xr:uid="{16799246-AB9A-4552-B980-36365866F0B1}">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29B49564-CBB8-4303-A85D-06373AE039E0}">
      <text>
        <r>
          <rPr>
            <sz val="9"/>
            <color indexed="81"/>
            <rFont val="Tahoma"/>
            <family val="2"/>
          </rPr>
          <t>To check the conditions of shooting this comp, find it in the 'Conditions' sheet.</t>
        </r>
      </text>
    </comment>
    <comment ref="B8" authorId="0" shapeId="0" xr:uid="{D1F60893-680E-4DB2-8D0A-7880AE45CF0E}">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55E25941-7904-4D54-82C5-8C605C96EBA3}">
      <text>
        <r>
          <rPr>
            <sz val="9"/>
            <color indexed="81"/>
            <rFont val="Tahoma"/>
            <family val="2"/>
          </rPr>
          <t>Insert the entrant's 'points on' average score out of the maximum given, to one decimal place.</t>
        </r>
      </text>
    </comment>
    <comment ref="D8" authorId="0" shapeId="0" xr:uid="{250D0DA7-2931-4D6A-AFB4-401B44358A50}">
      <text>
        <r>
          <rPr>
            <sz val="9"/>
            <color indexed="81"/>
            <rFont val="Tahoma"/>
            <family val="2"/>
          </rPr>
          <t>Insert an 'x' to enter the Individual competition (upper or lower case). Must be given for all Individual entries including Jun &amp; Sen entries.</t>
        </r>
      </text>
    </comment>
    <comment ref="E8" authorId="0" shapeId="0" xr:uid="{1291AEDC-8A49-40BE-9EBF-DEA1F646FA58}">
      <text>
        <r>
          <rPr>
            <sz val="9"/>
            <color indexed="81"/>
            <rFont val="Tahoma"/>
            <family val="2"/>
          </rPr>
          <t>Insert 'j' or 's' to enter the Junior or Senior competition (upper or lower case). Enter 'x' in the Open Individual column too.</t>
        </r>
      </text>
    </comment>
    <comment ref="F8" authorId="0" shapeId="0" xr:uid="{3E79B15C-8620-42D1-865A-77FC23A16D4F}">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45ACD252-8BB0-4F25-8897-B1C0E337B74E}">
      <text>
        <r>
          <rPr>
            <sz val="9"/>
            <color indexed="81"/>
            <rFont val="Tahoma"/>
            <family val="2"/>
          </rPr>
          <t>To check the conditions of shooting this comp, find it in the 'Conditions' sheet.</t>
        </r>
      </text>
    </comment>
    <comment ref="B8" authorId="0" shapeId="0" xr:uid="{C96F48E4-3C9C-4B2C-AF58-21B97169689D}">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9DA1985E-3715-42DD-A92A-7AC67FBC4B61}">
      <text>
        <r>
          <rPr>
            <sz val="9"/>
            <color indexed="81"/>
            <rFont val="Tahoma"/>
            <family val="2"/>
          </rPr>
          <t>Insert the entrant's 'points on' average score out of the maximum given, to one decimal place.</t>
        </r>
      </text>
    </comment>
    <comment ref="D8" authorId="0" shapeId="0" xr:uid="{FBE07837-C3E9-4740-8EA6-7EE40CDB1857}">
      <text>
        <r>
          <rPr>
            <sz val="9"/>
            <color indexed="81"/>
            <rFont val="Tahoma"/>
            <family val="2"/>
          </rPr>
          <t>Insert 'j' or 's' to enter the Junior or Senior competition (upper or lower case).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A34B22AB-607B-4BA0-B8BC-0FD937A593B0}">
      <text>
        <r>
          <rPr>
            <sz val="9"/>
            <color indexed="81"/>
            <rFont val="Tahoma"/>
            <family val="2"/>
          </rPr>
          <t>To check the conditions of shooting this comp, find it in the 'Conditions' sheet, but please note the following:
Unless issued with an NSRA dispensation certificate to the contrary, anyone permitted to shoot 10m Air Rifle sitting (in a wheelchair or not) must use a spring rest and enter this competition and not the Supported Rest version.</t>
        </r>
      </text>
    </comment>
    <comment ref="B8" authorId="0" shapeId="0" xr:uid="{181C9BB8-6B34-4BA0-B220-00726F5ADC07}">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5C2073CF-2259-4374-BAD2-117BB165C9A3}">
      <text>
        <r>
          <rPr>
            <sz val="9"/>
            <color indexed="81"/>
            <rFont val="Tahoma"/>
            <family val="2"/>
          </rPr>
          <t>Insert the entrant's 'points on' average score out of the maximum given, to one decimal place.</t>
        </r>
      </text>
    </comment>
    <comment ref="D8" authorId="0" shapeId="0" xr:uid="{E224974A-CB89-428D-841E-E1D9721ED7D9}">
      <text>
        <r>
          <rPr>
            <sz val="9"/>
            <color indexed="81"/>
            <rFont val="Tahoma"/>
            <family val="2"/>
          </rPr>
          <t>Insert an 'x' to enter the Individual competition (upper or lower case). Must be given for all Individual entries including Jun &amp; Sen entries.</t>
        </r>
      </text>
    </comment>
    <comment ref="E8" authorId="0" shapeId="0" xr:uid="{B81E4E9D-F8CD-40B9-8C41-35F93C66B614}">
      <text>
        <r>
          <rPr>
            <sz val="9"/>
            <color indexed="81"/>
            <rFont val="Tahoma"/>
            <family val="2"/>
          </rPr>
          <t>Insert 'j' or 's' to enter the Junior or Senior competition (upper or lower case). Enter 'x' in the Open Individual column too.</t>
        </r>
      </text>
    </comment>
    <comment ref="F8" authorId="0" shapeId="0" xr:uid="{30788AB5-2A71-4956-ABA3-C14F682AF3FF}">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C53FBC12-E112-4B12-899C-3DFA2F39191F}">
      <text>
        <r>
          <rPr>
            <sz val="9"/>
            <color indexed="81"/>
            <rFont val="Tahoma"/>
            <family val="2"/>
          </rPr>
          <t>To check the conditions of shooting this comp, find it in the 'Conditions' sheet, but please note the following:
Anyone permitted to shoot 10m Air Rifle sitting (in a wheelchair or not) should not enter this Supported Rest competition.</t>
        </r>
      </text>
    </comment>
    <comment ref="B8" authorId="0" shapeId="0" xr:uid="{200CB651-71E7-41C7-A478-54897CAE9BC7}">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5561438E-7CD8-41D3-B903-A2C594A926FB}">
      <text>
        <r>
          <rPr>
            <sz val="9"/>
            <color indexed="81"/>
            <rFont val="Tahoma"/>
            <family val="2"/>
          </rPr>
          <t>Insert the entrant's 'points on' average score out of the maximum given, to one decimal place.</t>
        </r>
      </text>
    </comment>
    <comment ref="D8" authorId="0" shapeId="0" xr:uid="{053E7132-4476-4838-A6CA-79A3FF4FEC4E}">
      <text>
        <r>
          <rPr>
            <sz val="9"/>
            <color indexed="81"/>
            <rFont val="Tahoma"/>
            <family val="2"/>
          </rPr>
          <t>Insert 'j' or 's' to enter the Junior or Senior competition (upper or lower case).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18BAF030-27E6-40C4-988A-FA4E725E2EC2}">
      <text>
        <r>
          <rPr>
            <sz val="9"/>
            <color indexed="81"/>
            <rFont val="Tahoma"/>
            <family val="2"/>
          </rPr>
          <t>To check the conditions of shooting this comp, find it in the 'Conditions' sheet.</t>
        </r>
      </text>
    </comment>
    <comment ref="B8" authorId="0" shapeId="0" xr:uid="{51947203-C0A4-4903-8EE8-1CDFF81EF351}">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7AFA2ABD-8EE3-4097-8889-44D277C948B6}">
      <text>
        <r>
          <rPr>
            <sz val="9"/>
            <color indexed="81"/>
            <rFont val="Tahoma"/>
            <family val="2"/>
          </rPr>
          <t>Insert the entrant's 'points on' average score out of the maximum given, to one decimal place.</t>
        </r>
      </text>
    </comment>
    <comment ref="D8" authorId="0" shapeId="0" xr:uid="{E4570621-D373-4C12-AE7C-5856A3CEBA26}">
      <text>
        <r>
          <rPr>
            <sz val="9"/>
            <color indexed="81"/>
            <rFont val="Tahoma"/>
            <family val="2"/>
          </rPr>
          <t>Insert an 'x' to enter the Individual competition (upper or lower case). Must be given for all Individual entries including Jun &amp; Sen entries.</t>
        </r>
      </text>
    </comment>
    <comment ref="E8" authorId="0" shapeId="0" xr:uid="{1A654BB8-3E2B-4D9E-89C7-F38080B79FB2}">
      <text>
        <r>
          <rPr>
            <sz val="9"/>
            <color indexed="81"/>
            <rFont val="Tahoma"/>
            <family val="2"/>
          </rPr>
          <t>Insert 'j' or 's' to enter the Junior or Senior competition (upper or lower case). Enter 'x' in the Open Individual column too.</t>
        </r>
      </text>
    </comment>
    <comment ref="F8" authorId="0" shapeId="0" xr:uid="{F97FA296-360F-4705-B685-1E0A5998DBC4}">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6CAEEC46-B6B5-4C84-B15E-7438CDC89D63}">
      <text>
        <r>
          <rPr>
            <sz val="9"/>
            <color indexed="81"/>
            <rFont val="Tahoma"/>
            <family val="2"/>
          </rPr>
          <t>To check the conditions of shooting this comp, find it in the 'Conditions' sheet.</t>
        </r>
      </text>
    </comment>
    <comment ref="B8" authorId="0" shapeId="0" xr:uid="{C22D55AC-35E3-418B-B517-30597841A209}">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19397874-48B4-46AE-A90F-7BB82379B450}">
      <text>
        <r>
          <rPr>
            <sz val="9"/>
            <color indexed="81"/>
            <rFont val="Tahoma"/>
            <family val="2"/>
          </rPr>
          <t>Insert the entrant's 'points on' average score out of the maximum given, to one decimal place.</t>
        </r>
      </text>
    </comment>
    <comment ref="D8" authorId="0" shapeId="0" xr:uid="{26208A7F-6390-46A3-B0AC-51150564E86B}">
      <text>
        <r>
          <rPr>
            <sz val="9"/>
            <color indexed="81"/>
            <rFont val="Tahoma"/>
            <family val="2"/>
          </rPr>
          <t>Insert 'j' or 's' to enter the Junior or Senior competition (upper or lower case).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DAE8533E-B3E4-4A35-8994-041941C87670}">
      <text>
        <r>
          <rPr>
            <sz val="9"/>
            <color indexed="81"/>
            <rFont val="Tahoma"/>
            <family val="2"/>
          </rPr>
          <t>To check the conditions of shooting this comp, find it in the 'Conditions' sheet.</t>
        </r>
      </text>
    </comment>
    <comment ref="B8" authorId="0" shapeId="0" xr:uid="{F5CAD5F0-746B-4C44-AE3F-EE294FA4A55F}">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88557379-C15A-42AC-A38A-E2DDF8D95CF7}">
      <text>
        <r>
          <rPr>
            <sz val="9"/>
            <color indexed="81"/>
            <rFont val="Tahoma"/>
            <family val="2"/>
          </rPr>
          <t>Insert the entrant's 'points on' average score out of the maximum given, to one decimal place.</t>
        </r>
      </text>
    </comment>
    <comment ref="D8" authorId="0" shapeId="0" xr:uid="{52EB396B-4035-4915-A2FB-CE536567A934}">
      <text>
        <r>
          <rPr>
            <sz val="9"/>
            <color indexed="81"/>
            <rFont val="Tahoma"/>
            <family val="2"/>
          </rPr>
          <t>Insert an 'x' to enter the Individual competition (upper or lower case). Must be given for all Individual entries including Jun &amp; Sen entries.</t>
        </r>
      </text>
    </comment>
    <comment ref="E8" authorId="0" shapeId="0" xr:uid="{5B9E7C67-747D-4D56-95A0-7FA529A19397}">
      <text>
        <r>
          <rPr>
            <sz val="9"/>
            <color indexed="81"/>
            <rFont val="Tahoma"/>
            <family val="2"/>
          </rPr>
          <t>Insert 'j' or 's' to enter the Junior or Senior competition (upper or lower case). Enter 'x' in the Open Individual column too.</t>
        </r>
      </text>
    </comment>
    <comment ref="F8" authorId="0" shapeId="0" xr:uid="{34C3EA9A-8112-4A1B-9D5B-40F78C300543}">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14180BE6-FC7D-41C6-A037-6C0B31054BD2}">
      <text>
        <r>
          <rPr>
            <sz val="9"/>
            <color indexed="81"/>
            <rFont val="Tahoma"/>
            <family val="2"/>
          </rPr>
          <t>To check the conditions of shooting this comp, find it in the 'Conditions' sheet.</t>
        </r>
      </text>
    </comment>
    <comment ref="B8" authorId="0" shapeId="0" xr:uid="{0160005E-F181-454E-86DC-B8493D1137FD}">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221F80FD-9C5E-43D4-BB12-6DBE89ECDD55}">
      <text>
        <r>
          <rPr>
            <sz val="9"/>
            <color indexed="81"/>
            <rFont val="Tahoma"/>
            <family val="2"/>
          </rPr>
          <t>Insert the entrant's 'points on' average score out of the maximum given, to one decimal place.</t>
        </r>
      </text>
    </comment>
    <comment ref="D8" authorId="0" shapeId="0" xr:uid="{2C6FC312-531A-4BB6-B6EC-054ED5A29BB0}">
      <text>
        <r>
          <rPr>
            <sz val="9"/>
            <color indexed="81"/>
            <rFont val="Tahoma"/>
            <family val="2"/>
          </rPr>
          <t>Insert an 'x' to enter the Individual competition (upper or lower case). Must be given for all Individual entries including Jun &amp; Sen entries.</t>
        </r>
      </text>
    </comment>
    <comment ref="E8" authorId="0" shapeId="0" xr:uid="{1B41AF51-1B94-4A57-8472-CF24BC7F363B}">
      <text>
        <r>
          <rPr>
            <sz val="9"/>
            <color indexed="81"/>
            <rFont val="Tahoma"/>
            <family val="2"/>
          </rPr>
          <t>Insert 'j' or 's' to enter the Junior or Senior competition (upper or lower case). Enter 'x' in the Open Individual column too.</t>
        </r>
      </text>
    </comment>
    <comment ref="F8" authorId="0" shapeId="0" xr:uid="{ECE7C10A-31A8-4A9E-8A79-F4E0E4BDEBC7}">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Bill Hamilton</author>
  </authors>
  <commentList>
    <comment ref="B6" authorId="0" shapeId="0" xr:uid="{6F15BED0-6DE9-4080-94D5-C1A0FEFA127D}">
      <text>
        <r>
          <rPr>
            <sz val="9"/>
            <color indexed="81"/>
            <rFont val="Tahoma"/>
            <family val="2"/>
          </rPr>
          <t>To check the conditions of shooting this comp, find it in the 'Conditions' sheet.</t>
        </r>
      </text>
    </comment>
    <comment ref="B8" authorId="0" shapeId="0" xr:uid="{24170CDB-F2F0-473D-B46D-C3C2DF68D298}">
      <text>
        <r>
          <rPr>
            <sz val="9"/>
            <color indexed="81"/>
            <rFont val="Tahoma"/>
            <family val="2"/>
          </rPr>
          <t>Please insert names in the form 'J. Bloggs', with a 'dot space' after each initial.
First names should only be given if initials cannot distinguish between individuals, and add a '#' character to the end of the surnames.</t>
        </r>
      </text>
    </comment>
    <comment ref="C8" authorId="0" shapeId="0" xr:uid="{41933F75-05F8-47DC-9888-7A490AF21A99}">
      <text>
        <r>
          <rPr>
            <sz val="9"/>
            <color indexed="81"/>
            <rFont val="Tahoma"/>
            <family val="2"/>
          </rPr>
          <t>Insert the entrant's 'points on' average score out of the maximum given, to one decimal place.</t>
        </r>
      </text>
    </comment>
    <comment ref="D8" authorId="0" shapeId="0" xr:uid="{9E7AB325-35F6-49A4-AF90-2AABA8241A98}">
      <text>
        <r>
          <rPr>
            <sz val="9"/>
            <color indexed="81"/>
            <rFont val="Tahoma"/>
            <family val="2"/>
          </rPr>
          <t>Insert an 'x' to enter the Individual competition (upper or lower case). Must be given for all Individual entries including Jun &amp; Sen entries.</t>
        </r>
      </text>
    </comment>
    <comment ref="E8" authorId="0" shapeId="0" xr:uid="{95100BDE-8673-4724-8DF2-B823EB1D6E73}">
      <text>
        <r>
          <rPr>
            <sz val="9"/>
            <color indexed="81"/>
            <rFont val="Tahoma"/>
            <family val="2"/>
          </rPr>
          <t>Insert 'j' or 's' to enter the Junior or Senior competition (upper or lower case). Enter 'x' in the Open Individual column too.</t>
        </r>
      </text>
    </comment>
    <comment ref="F8" authorId="0" shapeId="0" xr:uid="{AD12BC50-108E-47D3-BB83-0AFB8375A678}">
      <text>
        <r>
          <rPr>
            <sz val="9"/>
            <color indexed="81"/>
            <rFont val="Tahoma"/>
            <family val="2"/>
          </rPr>
          <t>To enter a competitor into a team, insert the  letter of their team ('A', 'B' etc, upper or lower case). If you have more than one team, the best available shooters must be placed in the ‘A’ team, the next best in the ‘B’ team and so 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<sst xmlns="http://schemas.openxmlformats.org/spreadsheetml/2006/main" count="437" uniqueCount="128">
  <si>
    <t>Teams</t>
  </si>
  <si>
    <t>No of Entries</t>
  </si>
  <si>
    <t>Fees due</t>
  </si>
  <si>
    <t>TEAMS &amp; INDIVIDUALS</t>
  </si>
  <si>
    <t>INDIVIDUALS</t>
  </si>
  <si>
    <t>Individuals</t>
  </si>
  <si>
    <t>Juniors</t>
  </si>
  <si>
    <t>Seniors</t>
  </si>
  <si>
    <t>Cumbria &amp; Northumbria Target Shooting Association</t>
  </si>
  <si>
    <t>No.</t>
  </si>
  <si>
    <t>Unit cost</t>
  </si>
  <si>
    <t>Total</t>
  </si>
  <si>
    <t xml:space="preserve">Club Name: </t>
  </si>
  <si>
    <t xml:space="preserve">Date: </t>
  </si>
  <si>
    <t>Post Code</t>
  </si>
  <si>
    <t xml:space="preserve">Email address 2:     </t>
  </si>
  <si>
    <t>Muzzle Loading Revolver</t>
  </si>
  <si>
    <t>Muzzle Loading Nitro</t>
  </si>
  <si>
    <t>Long-barrelled Pistol</t>
  </si>
  <si>
    <t>Rapid Fire Rifle</t>
  </si>
  <si>
    <t>Sport Rifle</t>
  </si>
  <si>
    <t>Short Range Rifle</t>
  </si>
  <si>
    <t>Competition</t>
  </si>
  <si>
    <t>Entry type</t>
  </si>
  <si>
    <t>Rapid Fire Air Pistol</t>
  </si>
  <si>
    <t>10m Air Pistol</t>
  </si>
  <si>
    <t>10m Air Rifle</t>
  </si>
  <si>
    <t>10m Air Pistol (Supp rest)</t>
  </si>
  <si>
    <t>10m Air Rifle (Supp rest)</t>
  </si>
  <si>
    <t>LR Rifle 100 Any</t>
  </si>
  <si>
    <t>6 Yd Air Pistol</t>
  </si>
  <si>
    <t>Gallery Rifle Any</t>
  </si>
  <si>
    <t>Gallery Rifle Iron</t>
  </si>
  <si>
    <t>Muzzle Loading Pistol</t>
  </si>
  <si>
    <t>SR Standard Pistol</t>
  </si>
  <si>
    <t>20Yd Pistol</t>
  </si>
  <si>
    <t>See the 'League Information' document supplied with this file for how to determine the averages to be given on the entry forms</t>
  </si>
  <si>
    <t>Teams of 3</t>
  </si>
  <si>
    <t>Template1</t>
  </si>
  <si>
    <t>Template2</t>
  </si>
  <si>
    <t>I=3/4,T=3/6,JS=5,1</t>
  </si>
  <si>
    <t>I=3/4,T=3/6,JS=5,2</t>
  </si>
  <si>
    <t>I=3/0,T=0/0,JS=4,1</t>
  </si>
  <si>
    <r>
      <t xml:space="preserve"> </t>
    </r>
    <r>
      <rPr>
        <b/>
        <u/>
        <sz val="10"/>
        <color theme="1"/>
        <rFont val="Arial"/>
        <family val="2"/>
      </rPr>
      <t>Name</t>
    </r>
  </si>
  <si>
    <r>
      <t xml:space="preserve"> </t>
    </r>
    <r>
      <rPr>
        <b/>
        <u/>
        <sz val="10"/>
        <color theme="1"/>
        <rFont val="Arial"/>
        <family val="2"/>
      </rPr>
      <t xml:space="preserve">Average
ex 200
</t>
    </r>
    <r>
      <rPr>
        <b/>
        <u/>
        <sz val="8"/>
        <color theme="1"/>
        <rFont val="Arial"/>
        <family val="2"/>
      </rPr>
      <t>(1 Dec Plc)</t>
    </r>
  </si>
  <si>
    <r>
      <t xml:space="preserve"> </t>
    </r>
    <r>
      <rPr>
        <b/>
        <u/>
        <sz val="10"/>
        <color theme="1"/>
        <rFont val="Arial"/>
        <family val="2"/>
      </rPr>
      <t xml:space="preserve">Open Individual
</t>
    </r>
    <r>
      <rPr>
        <b/>
        <sz val="8"/>
        <color theme="1"/>
        <rFont val="Arial"/>
        <family val="2"/>
      </rPr>
      <t>(enter 'x')</t>
    </r>
  </si>
  <si>
    <r>
      <t xml:space="preserve"> </t>
    </r>
    <r>
      <rPr>
        <b/>
        <u/>
        <sz val="10"/>
        <color theme="1"/>
        <rFont val="Arial"/>
        <family val="2"/>
      </rPr>
      <t xml:space="preserve">Individual Junior or Senior
</t>
    </r>
    <r>
      <rPr>
        <b/>
        <sz val="8"/>
        <color theme="1"/>
        <rFont val="Arial"/>
        <family val="2"/>
      </rPr>
      <t>(enter J or S)</t>
    </r>
  </si>
  <si>
    <r>
      <t xml:space="preserve"> </t>
    </r>
    <r>
      <rPr>
        <b/>
        <u/>
        <sz val="10"/>
        <color theme="1"/>
        <rFont val="Arial"/>
        <family val="2"/>
      </rPr>
      <t xml:space="preserve">Open Team
</t>
    </r>
    <r>
      <rPr>
        <b/>
        <sz val="8"/>
        <color theme="1"/>
        <rFont val="Arial"/>
        <family val="2"/>
      </rPr>
      <t>(give team letter: A, B etc)</t>
    </r>
  </si>
  <si>
    <r>
      <t xml:space="preserve"> </t>
    </r>
    <r>
      <rPr>
        <b/>
        <u/>
        <sz val="10"/>
        <color theme="1"/>
        <rFont val="Arial"/>
        <family val="2"/>
      </rPr>
      <t xml:space="preserve">Average
ex 100
</t>
    </r>
    <r>
      <rPr>
        <b/>
        <u/>
        <sz val="8"/>
        <color theme="1"/>
        <rFont val="Arial"/>
        <family val="2"/>
      </rPr>
      <t>(1 Dec Plc)</t>
    </r>
  </si>
  <si>
    <t>Bench 50m</t>
  </si>
  <si>
    <t>Bench 100yd</t>
  </si>
  <si>
    <t>Bench SR (Rim)</t>
  </si>
  <si>
    <t>Bench SR (Air)</t>
  </si>
  <si>
    <t>Open Individuals plus concurrent Sen/Jun</t>
  </si>
  <si>
    <t>LATE ENTRIES WILL NOT BE ACCEPTED</t>
  </si>
  <si>
    <t>king</t>
  </si>
  <si>
    <t>Welcome to the C&amp;NTSA's Excel Entry Form file. Here's how to use it.</t>
  </si>
  <si>
    <t>Fee total</t>
  </si>
  <si>
    <t xml:space="preserve">Open-only individual entry    </t>
  </si>
  <si>
    <r>
      <t xml:space="preserve"> </t>
    </r>
    <r>
      <rPr>
        <b/>
        <u/>
        <sz val="10"/>
        <color theme="1"/>
        <rFont val="Arial"/>
        <family val="2"/>
      </rPr>
      <t xml:space="preserve">Average
ex 300
</t>
    </r>
    <r>
      <rPr>
        <b/>
        <u/>
        <sz val="8"/>
        <color theme="1"/>
        <rFont val="Arial"/>
        <family val="2"/>
      </rPr>
      <t>(1 Dec Plc)</t>
    </r>
  </si>
  <si>
    <t xml:space="preserve">Name &amp; address of club contact: </t>
  </si>
  <si>
    <t xml:space="preserve">'Signed':  </t>
  </si>
  <si>
    <t>Club and Contact information :</t>
  </si>
  <si>
    <t>Position in club :</t>
  </si>
  <si>
    <t xml:space="preserve">Target labels, correspondence (including future entry forms) and results will be sent to the above postal or email addresses as appropriate.  </t>
  </si>
  <si>
    <t xml:space="preserve">Total  = </t>
  </si>
  <si>
    <t>Total:</t>
  </si>
  <si>
    <t>Fee costs</t>
  </si>
  <si>
    <t>The details in the table below will be automatically updated as you enter data in the competition entry sheets.</t>
  </si>
  <si>
    <t xml:space="preserve"> Long-barrelled .22 Pistol (Any Sights)  </t>
  </si>
  <si>
    <t xml:space="preserve"> Short Range Standard Pistol (Air or Rimfire)</t>
  </si>
  <si>
    <r>
      <t xml:space="preserve">Short Range Benchrest </t>
    </r>
    <r>
      <rPr>
        <b/>
        <sz val="14"/>
        <color rgb="FFFF0000"/>
        <rFont val="Arial"/>
        <family val="2"/>
      </rPr>
      <t>AIR RIFLE</t>
    </r>
    <r>
      <rPr>
        <b/>
        <sz val="14"/>
        <color theme="1"/>
        <rFont val="Arial"/>
        <family val="2"/>
      </rPr>
      <t xml:space="preserve"> Any Sights </t>
    </r>
  </si>
  <si>
    <r>
      <t xml:space="preserve">PLEASE SEE THE 'INSTRUCTIONS' SHEET FOR DETAILS OF HOW TO INPUT AND SUBMIT YOUR ENTRIES USING THIS FILE.  </t>
    </r>
    <r>
      <rPr>
        <b/>
        <u/>
        <sz val="11"/>
        <color rgb="FFFF0000"/>
        <rFont val="Arial"/>
        <family val="2"/>
      </rPr>
      <t>DO NOT</t>
    </r>
    <r>
      <rPr>
        <b/>
        <sz val="11"/>
        <rFont val="Arial"/>
        <family val="2"/>
      </rPr>
      <t xml:space="preserve"> ASSUME THAT EVERYTHING IS THE SAME AS LAST TIME!</t>
    </r>
  </si>
  <si>
    <t>Go to Summary sheet</t>
  </si>
  <si>
    <t>L-Barrelled Revolver Any</t>
  </si>
  <si>
    <t>L-Barrelled Revolver Iron</t>
  </si>
  <si>
    <t>You should be aware that some competitions might not be run due to insufficient entries.
The invoices will allow for those.</t>
  </si>
  <si>
    <t>(Just enter 
your name)</t>
  </si>
  <si>
    <t xml:space="preserve">     (please set this to the date you send the file off)</t>
  </si>
  <si>
    <t>Name :</t>
  </si>
  <si>
    <t>Addr1 :</t>
  </si>
  <si>
    <t>Addr2 :</t>
  </si>
  <si>
    <t>Addr3 :</t>
  </si>
  <si>
    <t>Addr4 :</t>
  </si>
  <si>
    <t>Email will be our main communication method with the club</t>
  </si>
  <si>
    <t>Email address :</t>
  </si>
  <si>
    <t>Telephone :</t>
  </si>
  <si>
    <t xml:space="preserve"> Discipline:</t>
  </si>
  <si>
    <r>
      <t xml:space="preserve">(You cannot update this table yourself. It's a replication of the one in the </t>
    </r>
    <r>
      <rPr>
        <i/>
        <sz val="9"/>
        <color theme="1"/>
        <rFont val="Arial"/>
        <family val="2"/>
      </rPr>
      <t>Summary</t>
    </r>
    <r>
      <rPr>
        <sz val="9"/>
        <color theme="1"/>
        <rFont val="Arial"/>
        <family val="2"/>
      </rPr>
      <t xml:space="preserve"> sheet)</t>
    </r>
  </si>
  <si>
    <r>
      <t xml:space="preserve">
If you wish results (</t>
    </r>
    <r>
      <rPr>
        <i/>
        <sz val="11"/>
        <color rgb="FF000000"/>
        <rFont val="Arial"/>
        <family val="2"/>
      </rPr>
      <t>only</t>
    </r>
    <r>
      <rPr>
        <sz val="11"/>
        <color rgb="FF000000"/>
        <rFont val="Arial"/>
        <family val="2"/>
      </rPr>
      <t xml:space="preserve">) to be emailed to another person in your club in addition to yourself, please give their email address here and if possible give the main discipline they have an interest in: </t>
    </r>
  </si>
  <si>
    <t xml:space="preserve"> Long Barrelled Revolver Any Sights</t>
  </si>
  <si>
    <t xml:space="preserve"> Long Barrelled Revolver Iron Sights</t>
  </si>
  <si>
    <t xml:space="preserve">  50m/yds Benchrest Any Sights</t>
  </si>
  <si>
    <t xml:space="preserve"> Sport Rifle</t>
  </si>
  <si>
    <t xml:space="preserve"> 10 Metre Air Pistol</t>
  </si>
  <si>
    <t xml:space="preserve"> 10 Metre Air Rifle</t>
  </si>
  <si>
    <t xml:space="preserve">  20 Yards Pistol (Air or Rimfire)</t>
  </si>
  <si>
    <t xml:space="preserve"> 100yds Benchrest Any Sights</t>
  </si>
  <si>
    <t xml:space="preserve"> Short Range Rifle (Prone)</t>
  </si>
  <si>
    <t xml:space="preserve"> 6 Yards Air Pistol</t>
  </si>
  <si>
    <t xml:space="preserve"> Gallery Rifle (Any sights)</t>
  </si>
  <si>
    <t xml:space="preserve"> Gallery Rifle (Iron sights)</t>
  </si>
  <si>
    <t xml:space="preserve"> Muzzle Loading Nitro</t>
  </si>
  <si>
    <t xml:space="preserve"> Muzzle Loading Pistol</t>
  </si>
  <si>
    <t xml:space="preserve"> Muzzle Loading Revolver</t>
  </si>
  <si>
    <t xml:space="preserve"> Rapid Fire Air Pistol  </t>
  </si>
  <si>
    <t xml:space="preserve"> Rapid Fire Rifle (Rimfire or Air)</t>
  </si>
  <si>
    <r>
      <t xml:space="preserve"> Short Range Benchrest </t>
    </r>
    <r>
      <rPr>
        <b/>
        <sz val="14"/>
        <color rgb="FFFF0000"/>
        <rFont val="Arial"/>
        <family val="2"/>
      </rPr>
      <t>RIMFIRE</t>
    </r>
    <r>
      <rPr>
        <b/>
        <sz val="14"/>
        <color theme="1"/>
        <rFont val="Arial"/>
        <family val="2"/>
      </rPr>
      <t xml:space="preserve"> Any Sights </t>
    </r>
  </si>
  <si>
    <r>
      <t xml:space="preserve">Summary of entries and fees due per competition.
</t>
    </r>
    <r>
      <rPr>
        <sz val="11"/>
        <color theme="1"/>
        <rFont val="Calibri"/>
        <family val="2"/>
        <scheme val="minor"/>
      </rPr>
      <t>(Please note that the conditions of shooting each competition are given in the 'Conditions' sheet)</t>
    </r>
  </si>
  <si>
    <t xml:space="preserve">  ISSF 10m Supported Rest Air Rifle  </t>
  </si>
  <si>
    <t xml:space="preserve"> ISSF 10m Supported Rest Air Pistol  </t>
  </si>
  <si>
    <t>F E E S   P A Y A B L E   S U M M A R Y</t>
  </si>
  <si>
    <t>Fees Payable Summary</t>
  </si>
  <si>
    <t>!!! PLEASE READ THROUGH THESE INSTRUCTIONS AS THINGS ARE LIABLE TO CHANGE FROM SEASON TO SEASON !!!</t>
  </si>
  <si>
    <t>Dewar course (50 &amp; 100)</t>
  </si>
  <si>
    <t>LR Rifle Dewar</t>
  </si>
  <si>
    <t>100yds Prone (Any Sights)</t>
  </si>
  <si>
    <r>
      <rPr>
        <b/>
        <sz val="10"/>
        <color rgb="FFFF0000"/>
        <rFont val="Arial"/>
        <family val="2"/>
      </rPr>
      <t xml:space="preserve"> Indoor a</t>
    </r>
    <r>
      <rPr>
        <b/>
        <u/>
        <sz val="10"/>
        <color rgb="FFFF0000"/>
        <rFont val="Arial"/>
        <family val="2"/>
      </rPr>
      <t xml:space="preserve">verage
ex 100
</t>
    </r>
    <r>
      <rPr>
        <b/>
        <u/>
        <sz val="8"/>
        <color theme="1"/>
        <rFont val="Arial"/>
        <family val="2"/>
      </rPr>
      <t>(1 Dec Plc)</t>
    </r>
  </si>
  <si>
    <t>50m/y Prone (Iron Sights)</t>
  </si>
  <si>
    <t>LR Rifle 50 Iron</t>
  </si>
  <si>
    <t>your club</t>
  </si>
  <si>
    <t>I certify that all averages given are correct and in accordance with the Rules, and that the ages of all entrants to the Junior &amp;, Senior competitions comply with CNTSA’s modified NSRA Rules 3.5.1 or 3.5.2 as appropriate (ages 21 &amp; 60 respectively as at the closing date for entries).</t>
  </si>
  <si>
    <r>
      <t xml:space="preserve">An invoice for your entry fees will be issued as advised in Para 7 of the Instructions sheet here and on page 2 of the League Information document. 
</t>
    </r>
    <r>
      <rPr>
        <b/>
        <u/>
        <sz val="12"/>
        <color rgb="FFFF0000"/>
        <rFont val="Arial"/>
        <family val="2"/>
      </rPr>
      <t>Send no money now</t>
    </r>
    <r>
      <rPr>
        <b/>
        <sz val="12"/>
        <color rgb="FFFF0000"/>
        <rFont val="Arial"/>
        <family val="2"/>
      </rPr>
      <t>!</t>
    </r>
  </si>
  <si>
    <r>
      <rPr>
        <b/>
        <sz val="11"/>
        <rFont val="Arial"/>
        <family val="2"/>
      </rPr>
      <t>Please send your entry in by the above date as</t>
    </r>
    <r>
      <rPr>
        <b/>
        <u/>
        <sz val="11"/>
        <color rgb="FFFF0000"/>
        <rFont val="Arial"/>
        <family val="2"/>
      </rPr>
      <t xml:space="preserve">
LATE ENTRIES WILL NOT BE ACCEPTED.</t>
    </r>
  </si>
  <si>
    <r>
      <t xml:space="preserve">I consent to C&amp;NTSA using my data given below to administer its competitions with respect to my club in accordance with its GDPR policy: </t>
    </r>
    <r>
      <rPr>
        <sz val="8"/>
        <color rgb="FF000000"/>
        <rFont val="Arial"/>
        <family val="2"/>
      </rPr>
      <t xml:space="preserve">              NB Entries cannot be accepted unless the box is marked -</t>
    </r>
    <r>
      <rPr>
        <sz val="10"/>
        <color rgb="FF000000"/>
        <rFont val="Arial"/>
        <family val="2"/>
      </rPr>
      <t xml:space="preserve"> </t>
    </r>
    <r>
      <rPr>
        <b/>
        <sz val="10"/>
        <color rgb="FFFF0000"/>
        <rFont val="Arial"/>
        <family val="2"/>
      </rPr>
      <t>enter an 'x' here ==&gt;</t>
    </r>
  </si>
  <si>
    <t>CLOSING DATE: Monday 8th September 2025</t>
  </si>
  <si>
    <t>Winter 2025-26 Leagues</t>
  </si>
  <si>
    <t xml:space="preserve">  &lt;&lt; Please use your 'colloquial' clubname.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</si>
</sst>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64" formatCode="&quot;£&quot;#,##0"/>
    <numFmt numFmtId="165" formatCode="0.0"/>
    <numFmt numFmtId="166" formatCode="&quot;0&quot;#"/>
  </numFmts>
  <fonts count="69" x14ac:knownFonts="1">
    <font>
      <sz val="11"/>
      <color theme="1"/>
      <name val="Calibri"/>
      <family val="2"/>
      <scheme val="minor"/>
    </font>
    <font>
      <b/>
      <sz val="10"/>
      <color theme="1"/>
      <name val="Arial"/>
      <family val="2"/>
    </font>
    <font>
      <b/>
      <sz val="8"/>
      <color theme="1"/>
      <name val="Arial"/>
      <family val="2"/>
    </font>
    <font>
      <sz val="10"/>
      <color theme="1"/>
      <name val="Arial"/>
      <family val="2"/>
    </font>
    <font>
      <b/>
      <sz val="14"/>
      <color theme="1"/>
      <name val="Calibri"/>
      <family val="2"/>
      <scheme val="minor"/>
    </font>
    <font>
      <sz val="12"/>
      <color theme="1"/>
      <name val="Calibri"/>
      <family val="2"/>
      <scheme val="minor"/>
    </font>
    <font>
      <b/>
      <sz val="14"/>
      <color theme="1"/>
      <name val="Arial"/>
      <family val="2"/>
    </font>
    <font>
      <b/>
      <u/>
      <sz val="10"/>
      <color theme="1"/>
      <name val="Arial"/>
      <family val="2"/>
    </font>
    <font>
      <b/>
      <sz val="11"/>
      <color rgb="FFFF0000"/>
      <name val="Arial"/>
      <family val="2"/>
    </font>
    <font>
      <b/>
      <sz val="12"/>
      <color theme="1"/>
      <name val="Calibri"/>
      <family val="2"/>
      <scheme val="minor"/>
    </font>
    <font>
      <sz val="14"/>
      <color theme="1"/>
      <name val="Arial"/>
      <family val="2"/>
    </font>
    <font>
      <sz val="12"/>
      <color theme="1"/>
      <name val="Arial"/>
      <family val="2"/>
    </font>
    <font>
      <sz val="11"/>
      <color theme="1"/>
      <name val="Arial"/>
      <family val="2"/>
    </font>
    <font>
      <u/>
      <sz val="11"/>
      <color theme="10"/>
      <name val="Calibri"/>
      <family val="2"/>
      <scheme val="minor"/>
    </font>
    <font>
      <sz val="11"/>
      <color rgb="FF454545"/>
      <name val="Courier New"/>
      <family val="3"/>
    </font>
    <font>
      <b/>
      <sz val="11"/>
      <color theme="1"/>
      <name val="Arial"/>
      <family val="2"/>
    </font>
    <font>
      <b/>
      <sz val="16"/>
      <color theme="1"/>
      <name val="Arial"/>
      <family val="2"/>
    </font>
    <font>
      <b/>
      <sz val="18"/>
      <color theme="1"/>
      <name val="Arial"/>
      <family val="2"/>
    </font>
    <font>
      <b/>
      <u/>
      <sz val="14"/>
      <color rgb="FFFF0000"/>
      <name val="Arial"/>
      <family val="2"/>
    </font>
    <font>
      <sz val="10"/>
      <color rgb="FF000000"/>
      <name val="Arial"/>
      <family val="2"/>
    </font>
    <font>
      <sz val="8"/>
      <color rgb="FF000000"/>
      <name val="Arial"/>
      <family val="2"/>
    </font>
    <font>
      <sz val="6"/>
      <color rgb="FF000000"/>
      <name val="Arial"/>
      <family val="2"/>
    </font>
    <font>
      <u/>
      <sz val="14"/>
      <color theme="10"/>
      <name val="Calibri"/>
      <family val="2"/>
      <scheme val="minor"/>
    </font>
    <font>
      <sz val="12"/>
      <color rgb="FFFF0000"/>
      <name val="Calibri"/>
      <family val="2"/>
      <scheme val="minor"/>
    </font>
    <font>
      <b/>
      <sz val="16"/>
      <color theme="1"/>
      <name val="Calibri"/>
      <family val="2"/>
      <scheme val="minor"/>
    </font>
    <font>
      <b/>
      <sz val="13"/>
      <color theme="1"/>
      <name val="Calibri"/>
      <family val="2"/>
      <scheme val="minor"/>
    </font>
    <font>
      <b/>
      <sz val="20"/>
      <color theme="1"/>
      <name val="Calibri"/>
      <family val="2"/>
      <scheme val="minor"/>
    </font>
    <font>
      <sz val="20"/>
      <color theme="1"/>
      <name val="Calibri"/>
      <family val="2"/>
      <scheme val="minor"/>
    </font>
    <font>
      <b/>
      <sz val="11"/>
      <color theme="1"/>
      <name val="Calibri"/>
      <family val="2"/>
      <scheme val="minor"/>
    </font>
    <font>
      <sz val="9"/>
      <color rgb="FFFF0000"/>
      <name val="Arial"/>
      <family val="2"/>
    </font>
    <font>
      <i/>
      <sz val="11"/>
      <color theme="1"/>
      <name val="Calibri"/>
      <family val="2"/>
      <scheme val="minor"/>
    </font>
    <font>
      <b/>
      <u/>
      <sz val="18"/>
      <color theme="1"/>
      <name val="Arial"/>
      <family val="2"/>
    </font>
    <font>
      <b/>
      <sz val="11"/>
      <name val="Arial"/>
      <family val="2"/>
    </font>
    <font>
      <b/>
      <u/>
      <sz val="16"/>
      <color theme="1"/>
      <name val="Calibri"/>
      <family val="2"/>
      <scheme val="minor"/>
    </font>
    <font>
      <sz val="12"/>
      <color theme="0"/>
      <name val="Calibri"/>
      <family val="2"/>
      <scheme val="minor"/>
    </font>
    <font>
      <sz val="15"/>
      <color theme="1"/>
      <name val="Calibri"/>
      <family val="2"/>
      <scheme val="minor"/>
    </font>
    <font>
      <b/>
      <sz val="15"/>
      <color rgb="FF000000"/>
      <name val="Arial"/>
      <family val="2"/>
    </font>
    <font>
      <b/>
      <u/>
      <sz val="11"/>
      <color rgb="FF000000"/>
      <name val="Arial"/>
      <family val="2"/>
    </font>
    <font>
      <b/>
      <u/>
      <sz val="14"/>
      <color theme="1"/>
      <name val="Calibri"/>
      <family val="2"/>
      <scheme val="minor"/>
    </font>
    <font>
      <b/>
      <sz val="10.5"/>
      <color rgb="FF000000"/>
      <name val="Arial"/>
      <family val="2"/>
    </font>
    <font>
      <b/>
      <sz val="17"/>
      <color theme="1"/>
      <name val="Arial"/>
      <family val="2"/>
    </font>
    <font>
      <b/>
      <sz val="16.5"/>
      <color theme="1"/>
      <name val="Arial"/>
      <family val="2"/>
    </font>
    <font>
      <sz val="9"/>
      <color theme="0"/>
      <name val="Arial"/>
      <family val="2"/>
    </font>
    <font>
      <sz val="9"/>
      <color indexed="81"/>
      <name val="Tahoma"/>
      <family val="2"/>
    </font>
    <font>
      <sz val="10"/>
      <color theme="0"/>
      <name val="Arial"/>
      <family val="2"/>
    </font>
    <font>
      <sz val="10"/>
      <color rgb="FFFF0000"/>
      <name val="Arial"/>
      <family val="2"/>
    </font>
    <font>
      <b/>
      <u/>
      <sz val="8"/>
      <color theme="1"/>
      <name val="Arial"/>
      <family val="2"/>
    </font>
    <font>
      <sz val="11"/>
      <color rgb="FF000000"/>
      <name val="Arial"/>
      <family val="2"/>
    </font>
    <font>
      <sz val="11"/>
      <name val="Arial"/>
      <family val="2"/>
    </font>
    <font>
      <sz val="9"/>
      <color theme="1"/>
      <name val="Arial"/>
      <family val="2"/>
    </font>
    <font>
      <sz val="10.5"/>
      <color rgb="FFFF0000"/>
      <name val="Arial"/>
      <family val="2"/>
    </font>
    <font>
      <b/>
      <u/>
      <sz val="11"/>
      <color rgb="FFFF0000"/>
      <name val="Arial"/>
      <family val="2"/>
    </font>
    <font>
      <b/>
      <sz val="10"/>
      <name val="Calibri"/>
      <family val="2"/>
      <scheme val="minor"/>
    </font>
    <font>
      <sz val="8"/>
      <color theme="1"/>
      <name val="Arial"/>
      <family val="2"/>
    </font>
    <font>
      <b/>
      <u/>
      <sz val="12"/>
      <color theme="1"/>
      <name val="Arial"/>
      <family val="2"/>
    </font>
    <font>
      <i/>
      <sz val="10"/>
      <color theme="1"/>
      <name val="Calibri"/>
      <family val="2"/>
      <scheme val="minor"/>
    </font>
    <font>
      <b/>
      <sz val="14"/>
      <color rgb="FFFF0000"/>
      <name val="Arial"/>
      <family val="2"/>
    </font>
    <font>
      <i/>
      <sz val="9"/>
      <color theme="1"/>
      <name val="Arial"/>
      <family val="2"/>
    </font>
    <font>
      <sz val="7"/>
      <color theme="1"/>
      <name val="Arial"/>
      <family val="2"/>
    </font>
    <font>
      <sz val="9"/>
      <color rgb="FF000000"/>
      <name val="Arial"/>
      <family val="2"/>
    </font>
    <font>
      <i/>
      <sz val="11"/>
      <color rgb="FF000000"/>
      <name val="Arial"/>
      <family val="2"/>
    </font>
    <font>
      <i/>
      <sz val="10"/>
      <color theme="1"/>
      <name val="Arial"/>
      <family val="2"/>
    </font>
    <font>
      <sz val="11"/>
      <color theme="1"/>
      <name val="Lucida Handwriting"/>
      <family val="4"/>
    </font>
    <font>
      <b/>
      <sz val="10"/>
      <color rgb="FFFF0000"/>
      <name val="Arial"/>
      <family val="2"/>
    </font>
    <font>
      <b/>
      <u/>
      <sz val="10"/>
      <color rgb="FFFF0000"/>
      <name val="Arial"/>
      <family val="2"/>
    </font>
    <font>
      <b/>
      <u/>
      <sz val="12"/>
      <color rgb="FFFF0000"/>
      <name val="Arial"/>
      <family val="2"/>
    </font>
    <font>
      <b/>
      <sz val="12"/>
      <color rgb="FFFF0000"/>
      <name val="Arial"/>
      <family val="2"/>
    </font>
    <font>
      <b/>
      <sz val="28"/>
      <color rgb="FF000000"/>
      <name val="Verdana"/>
      <family val="2"/>
    </font>
    <font>
      <b/>
      <sz val="9"/>
      <color indexed="81"/>
      <name val="Tahoma"/>
      <family val="2"/>
    </font>
  </fonts>
  <fills count="3">
    <fill>
      <patternFill patternType="none"/>
    </fill>
    <fill>
      <patternFill patternType="gray125"/>
    </fill>
    <fill>
      <patternFill patternType="solid">
        <fgColor theme="0" tint="-4.9989318521683403E-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FF0000"/>
      </left>
      <right style="medium">
        <color rgb="FFFF0000"/>
      </right>
      <top style="medium">
        <color rgb="FFFF0000"/>
      </top>
      <bottom style="medium">
        <color rgb="FFFF0000"/>
      </bottom>
      <diagonal/>
    </border>
  </borders>
  <cellStyleXfs count="2">
    <xf numFmtId="0" fontId="0" fillId="0" borderId="0"/>
    <xf numFmtId="0" fontId="13" fillId="0" borderId="0" applyNumberFormat="0" applyFill="0" applyBorder="0" applyAlignment="0" applyProtection="0"/>
  </cellStyleXfs>
  <cellXfs count="209">
    <xf numFmtId="0" fontId="0" fillId="0" borderId="0" xfId="0"/>
    <xf numFmtId="0" fontId="5" fillId="0" borderId="0" xfId="0" applyFont="1"/>
    <xf numFmtId="0" fontId="6" fillId="0" borderId="0" xfId="0" applyFont="1" applyAlignment="1">
      <alignment vertical="center"/>
    </xf>
    <xf numFmtId="0" fontId="6" fillId="0" borderId="0" xfId="0" applyFont="1"/>
    <xf numFmtId="0" fontId="8" fillId="0" borderId="0" xfId="0" applyFont="1" applyAlignment="1">
      <alignment vertical="center"/>
    </xf>
    <xf numFmtId="0" fontId="9" fillId="0" borderId="1" xfId="0" applyFont="1" applyBorder="1" applyAlignment="1">
      <alignment horizontal="right" wrapText="1"/>
    </xf>
    <xf numFmtId="0" fontId="9" fillId="0" borderId="4" xfId="0" applyFont="1" applyBorder="1" applyAlignment="1">
      <alignment horizontal="right" wrapText="1"/>
    </xf>
    <xf numFmtId="0" fontId="6" fillId="0" borderId="0" xfId="0" applyFont="1" applyAlignment="1">
      <alignment horizontal="left"/>
    </xf>
    <xf numFmtId="0" fontId="6" fillId="0" borderId="0" xfId="0" applyFont="1" applyAlignment="1">
      <alignment horizontal="left" vertical="center"/>
    </xf>
    <xf numFmtId="0" fontId="12" fillId="0" borderId="0" xfId="0" applyFont="1"/>
    <xf numFmtId="0" fontId="10" fillId="0" borderId="0" xfId="0" applyFont="1"/>
    <xf numFmtId="0" fontId="10" fillId="0" borderId="0" xfId="0" applyFont="1" applyAlignment="1">
      <alignment horizontal="center"/>
    </xf>
    <xf numFmtId="0" fontId="12" fillId="0" borderId="0" xfId="0" applyFont="1" applyAlignment="1">
      <alignment horizontal="center"/>
    </xf>
    <xf numFmtId="0" fontId="14" fillId="0" borderId="0" xfId="0" applyFont="1"/>
    <xf numFmtId="0" fontId="1" fillId="0" borderId="0" xfId="0" applyFont="1" applyAlignment="1">
      <alignment horizontal="left" vertical="center"/>
    </xf>
    <xf numFmtId="0" fontId="19" fillId="0" borderId="0" xfId="0" applyFont="1" applyAlignment="1">
      <alignment horizontal="left" vertical="center"/>
    </xf>
    <xf numFmtId="0" fontId="12" fillId="0" borderId="0" xfId="0" applyFont="1" applyAlignment="1">
      <alignment horizontal="left"/>
    </xf>
    <xf numFmtId="0" fontId="12" fillId="0" borderId="0" xfId="0" applyFont="1" applyAlignment="1">
      <alignment horizontal="left" vertical="center"/>
    </xf>
    <xf numFmtId="1" fontId="5" fillId="0" borderId="1" xfId="0" applyNumberFormat="1" applyFont="1" applyBorder="1" applyAlignment="1">
      <alignment horizontal="right"/>
    </xf>
    <xf numFmtId="165" fontId="11" fillId="0" borderId="1" xfId="0" applyNumberFormat="1"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22" fillId="0" borderId="5" xfId="1" applyFont="1" applyBorder="1" applyProtection="1">
      <protection locked="0"/>
    </xf>
    <xf numFmtId="0" fontId="9" fillId="0" borderId="2" xfId="0" applyFont="1" applyBorder="1"/>
    <xf numFmtId="0" fontId="23" fillId="0" borderId="6" xfId="0" applyFont="1" applyBorder="1"/>
    <xf numFmtId="0" fontId="0" fillId="0" borderId="0" xfId="0" applyAlignment="1">
      <alignment horizontal="right"/>
    </xf>
    <xf numFmtId="0" fontId="27" fillId="0" borderId="0" xfId="0" applyFont="1"/>
    <xf numFmtId="0" fontId="29" fillId="0" borderId="0" xfId="0" applyFont="1" applyAlignment="1">
      <alignment horizontal="left"/>
    </xf>
    <xf numFmtId="0" fontId="0" fillId="0" borderId="0" xfId="0" applyProtection="1">
      <protection locked="0"/>
    </xf>
    <xf numFmtId="1" fontId="5" fillId="0" borderId="16" xfId="0" applyNumberFormat="1" applyFont="1" applyBorder="1" applyAlignment="1">
      <alignment horizontal="right"/>
    </xf>
    <xf numFmtId="164" fontId="5" fillId="0" borderId="17" xfId="0" applyNumberFormat="1" applyFont="1" applyBorder="1"/>
    <xf numFmtId="164" fontId="5" fillId="0" borderId="19" xfId="0" applyNumberFormat="1" applyFont="1" applyBorder="1"/>
    <xf numFmtId="164" fontId="9" fillId="0" borderId="22" xfId="0" applyNumberFormat="1" applyFont="1" applyBorder="1"/>
    <xf numFmtId="0" fontId="15" fillId="0" borderId="15" xfId="0" applyFont="1" applyBorder="1" applyAlignment="1">
      <alignment horizontal="center"/>
    </xf>
    <xf numFmtId="0" fontId="15" fillId="0" borderId="17" xfId="0" applyFont="1" applyBorder="1" applyAlignment="1">
      <alignment horizontal="right"/>
    </xf>
    <xf numFmtId="0" fontId="9" fillId="0" borderId="8" xfId="0" applyFont="1" applyBorder="1" applyAlignment="1">
      <alignment horizontal="right"/>
    </xf>
    <xf numFmtId="0" fontId="9" fillId="0" borderId="9" xfId="0" applyFont="1" applyBorder="1" applyAlignment="1">
      <alignment horizontal="right"/>
    </xf>
    <xf numFmtId="1" fontId="5" fillId="0" borderId="5" xfId="0" applyNumberFormat="1" applyFont="1" applyBorder="1" applyAlignment="1">
      <alignment horizontal="right"/>
    </xf>
    <xf numFmtId="1" fontId="5" fillId="0" borderId="6" xfId="0" applyNumberFormat="1" applyFont="1" applyBorder="1" applyAlignment="1">
      <alignment horizontal="right"/>
    </xf>
    <xf numFmtId="1" fontId="5" fillId="0" borderId="7" xfId="0" applyNumberFormat="1" applyFont="1" applyBorder="1" applyAlignment="1">
      <alignment horizontal="right"/>
    </xf>
    <xf numFmtId="164" fontId="5" fillId="0" borderId="5" xfId="0" applyNumberFormat="1" applyFont="1" applyBorder="1"/>
    <xf numFmtId="164" fontId="5" fillId="0" borderId="6" xfId="0" applyNumberFormat="1" applyFont="1" applyBorder="1"/>
    <xf numFmtId="164" fontId="5" fillId="0" borderId="7" xfId="0" applyNumberFormat="1" applyFont="1" applyBorder="1"/>
    <xf numFmtId="0" fontId="23" fillId="0" borderId="7" xfId="0" applyFont="1" applyBorder="1"/>
    <xf numFmtId="0" fontId="34" fillId="0" borderId="6" xfId="0" applyFont="1" applyBorder="1"/>
    <xf numFmtId="0" fontId="34" fillId="0" borderId="7" xfId="0" applyFont="1" applyBorder="1"/>
    <xf numFmtId="0" fontId="35" fillId="0" borderId="0" xfId="0" applyFont="1"/>
    <xf numFmtId="0" fontId="1" fillId="0" borderId="14" xfId="0" applyFont="1" applyBorder="1" applyAlignment="1">
      <alignment horizontal="center" wrapText="1"/>
    </xf>
    <xf numFmtId="0" fontId="11" fillId="0" borderId="15" xfId="0" applyFont="1" applyBorder="1" applyAlignment="1" applyProtection="1">
      <alignment horizontal="left" vertical="center" wrapText="1"/>
      <protection locked="0"/>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0" fontId="11" fillId="0" borderId="17" xfId="0" applyFont="1" applyBorder="1" applyAlignment="1" applyProtection="1">
      <alignment horizontal="center" vertical="center" wrapText="1"/>
      <protection locked="0"/>
    </xf>
    <xf numFmtId="0" fontId="11" fillId="0" borderId="18" xfId="0" applyFont="1" applyBorder="1" applyAlignment="1" applyProtection="1">
      <alignment horizontal="left" vertical="center" wrapText="1"/>
      <protection locked="0"/>
    </xf>
    <xf numFmtId="0" fontId="11" fillId="0" borderId="19" xfId="0" applyFont="1" applyBorder="1" applyAlignment="1" applyProtection="1">
      <alignment horizontal="center" vertical="center" wrapText="1"/>
      <protection locked="0"/>
    </xf>
    <xf numFmtId="165" fontId="11" fillId="0" borderId="21" xfId="0" applyNumberFormat="1" applyFont="1" applyBorder="1" applyAlignment="1" applyProtection="1">
      <alignment horizontal="center" vertical="center" wrapText="1"/>
      <protection locked="0"/>
    </xf>
    <xf numFmtId="0" fontId="11" fillId="0" borderId="22" xfId="0" applyFont="1" applyBorder="1" applyAlignment="1" applyProtection="1">
      <alignment horizontal="center" vertical="center" wrapText="1"/>
      <protection locked="0"/>
    </xf>
    <xf numFmtId="0" fontId="11" fillId="0" borderId="20" xfId="0" applyFont="1" applyBorder="1" applyAlignment="1" applyProtection="1">
      <alignment horizontal="left" vertical="center" wrapText="1"/>
      <protection locked="0"/>
    </xf>
    <xf numFmtId="0" fontId="11" fillId="0" borderId="21" xfId="0" applyFont="1" applyBorder="1" applyAlignment="1" applyProtection="1">
      <alignment horizontal="center" vertical="center" wrapText="1"/>
      <protection locked="0"/>
    </xf>
    <xf numFmtId="0" fontId="0" fillId="0" borderId="6" xfId="0" applyBorder="1"/>
    <xf numFmtId="0" fontId="0" fillId="0" borderId="7" xfId="0" applyBorder="1"/>
    <xf numFmtId="0" fontId="5" fillId="0" borderId="6" xfId="0" applyFont="1" applyBorder="1" applyAlignment="1">
      <alignment horizontal="right"/>
    </xf>
    <xf numFmtId="0" fontId="5" fillId="0" borderId="7" xfId="0" applyFont="1" applyBorder="1" applyAlignment="1">
      <alignment horizontal="right"/>
    </xf>
    <xf numFmtId="0" fontId="5" fillId="0" borderId="5" xfId="0" applyFont="1" applyBorder="1" applyAlignment="1">
      <alignment horizontal="right"/>
    </xf>
    <xf numFmtId="164" fontId="5" fillId="0" borderId="7" xfId="0" applyNumberFormat="1" applyFont="1" applyBorder="1" applyAlignment="1">
      <alignment horizontal="right"/>
    </xf>
    <xf numFmtId="164" fontId="5" fillId="0" borderId="5" xfId="0" applyNumberFormat="1" applyFont="1" applyBorder="1" applyAlignment="1">
      <alignment horizontal="right"/>
    </xf>
    <xf numFmtId="0" fontId="39" fillId="0" borderId="0" xfId="0" applyFont="1" applyAlignment="1">
      <alignment horizontal="left" vertical="center" wrapText="1" indent="2"/>
    </xf>
    <xf numFmtId="0" fontId="11" fillId="0" borderId="22" xfId="0" applyFont="1" applyBorder="1" applyAlignment="1" applyProtection="1">
      <alignment horizontal="center"/>
      <protection locked="0"/>
    </xf>
    <xf numFmtId="0" fontId="11" fillId="0" borderId="37" xfId="0" applyFont="1" applyBorder="1" applyAlignment="1" applyProtection="1">
      <alignment vertical="center" wrapText="1"/>
      <protection locked="0"/>
    </xf>
    <xf numFmtId="0" fontId="41" fillId="0" borderId="0" xfId="0" applyFont="1" applyAlignment="1">
      <alignment vertical="center"/>
    </xf>
    <xf numFmtId="0" fontId="14" fillId="0" borderId="0" xfId="0" applyFont="1" applyAlignment="1">
      <alignment horizontal="left"/>
    </xf>
    <xf numFmtId="0" fontId="44" fillId="0" borderId="0" xfId="0" applyFont="1" applyAlignment="1">
      <alignment horizontal="left"/>
    </xf>
    <xf numFmtId="0" fontId="16" fillId="0" borderId="0" xfId="0" applyFont="1"/>
    <xf numFmtId="0" fontId="45" fillId="0" borderId="0" xfId="0" applyFont="1" applyAlignment="1">
      <alignment horizontal="left"/>
    </xf>
    <xf numFmtId="0" fontId="42" fillId="0" borderId="0" xfId="0" applyFont="1" applyAlignment="1">
      <alignment horizontal="left" wrapText="1"/>
    </xf>
    <xf numFmtId="0" fontId="1" fillId="0" borderId="12" xfId="0" applyFont="1" applyBorder="1" applyAlignment="1">
      <alignment horizontal="left" wrapText="1"/>
    </xf>
    <xf numFmtId="0" fontId="1" fillId="0" borderId="13" xfId="0" applyFont="1" applyBorder="1" applyAlignment="1">
      <alignment horizontal="center" wrapText="1"/>
    </xf>
    <xf numFmtId="0" fontId="47" fillId="0" borderId="0" xfId="0" applyFont="1" applyAlignment="1">
      <alignment horizontal="left" vertical="center"/>
    </xf>
    <xf numFmtId="0" fontId="12" fillId="0" borderId="18" xfId="0" applyFont="1" applyBorder="1" applyAlignment="1">
      <alignment horizontal="center" vertical="center"/>
    </xf>
    <xf numFmtId="164" fontId="12" fillId="0" borderId="19" xfId="0" applyNumberFormat="1" applyFont="1" applyBorder="1" applyAlignment="1">
      <alignment vertical="center"/>
    </xf>
    <xf numFmtId="0" fontId="12" fillId="0" borderId="20" xfId="0" applyFont="1" applyBorder="1" applyAlignment="1">
      <alignment horizontal="center" vertical="center"/>
    </xf>
    <xf numFmtId="164" fontId="12" fillId="0" borderId="22" xfId="0" applyNumberFormat="1" applyFont="1" applyBorder="1" applyAlignment="1">
      <alignment vertical="center"/>
    </xf>
    <xf numFmtId="0" fontId="16" fillId="0" borderId="0" xfId="0" applyFont="1" applyAlignment="1">
      <alignment horizontal="center"/>
    </xf>
    <xf numFmtId="0" fontId="11" fillId="0" borderId="40" xfId="0" applyFont="1" applyBorder="1" applyAlignment="1" applyProtection="1">
      <alignment vertical="center" wrapText="1"/>
      <protection locked="0"/>
    </xf>
    <xf numFmtId="0" fontId="11" fillId="0" borderId="17" xfId="0" applyFont="1" applyBorder="1" applyAlignment="1" applyProtection="1">
      <alignment horizontal="center"/>
      <protection locked="0"/>
    </xf>
    <xf numFmtId="0" fontId="11" fillId="0" borderId="38" xfId="0" applyFont="1" applyBorder="1" applyAlignment="1" applyProtection="1">
      <alignment vertical="center" wrapText="1"/>
      <protection locked="0"/>
    </xf>
    <xf numFmtId="165" fontId="11" fillId="0" borderId="11" xfId="0" applyNumberFormat="1" applyFont="1" applyBorder="1" applyAlignment="1" applyProtection="1">
      <alignment horizontal="center" vertical="center" wrapText="1"/>
      <protection locked="0"/>
    </xf>
    <xf numFmtId="0" fontId="11" fillId="0" borderId="39" xfId="0" applyFont="1" applyBorder="1" applyAlignment="1" applyProtection="1">
      <alignment horizontal="center"/>
      <protection locked="0"/>
    </xf>
    <xf numFmtId="0" fontId="9" fillId="0" borderId="4" xfId="0" applyFont="1" applyBorder="1" applyAlignment="1">
      <alignment horizontal="right"/>
    </xf>
    <xf numFmtId="164" fontId="32" fillId="0" borderId="24" xfId="0" applyNumberFormat="1" applyFont="1" applyBorder="1" applyAlignment="1">
      <alignment vertical="center"/>
    </xf>
    <xf numFmtId="0" fontId="50" fillId="0" borderId="0" xfId="0" applyFont="1"/>
    <xf numFmtId="0" fontId="53" fillId="0" borderId="0" xfId="0" applyFont="1"/>
    <xf numFmtId="0" fontId="20" fillId="0" borderId="0" xfId="0" applyFont="1" applyAlignment="1">
      <alignment horizontal="left" vertical="center"/>
    </xf>
    <xf numFmtId="0" fontId="21" fillId="0" borderId="0" xfId="0" applyFont="1" applyAlignment="1">
      <alignment horizontal="left" vertical="center"/>
    </xf>
    <xf numFmtId="0" fontId="12" fillId="0" borderId="44" xfId="0" applyFont="1" applyBorder="1"/>
    <xf numFmtId="0" fontId="12" fillId="0" borderId="46" xfId="0" applyFont="1" applyBorder="1"/>
    <xf numFmtId="0" fontId="12" fillId="0" borderId="45" xfId="0" applyFont="1" applyBorder="1" applyAlignment="1">
      <alignment horizontal="left"/>
    </xf>
    <xf numFmtId="0" fontId="12" fillId="0" borderId="45" xfId="0" applyFont="1" applyBorder="1"/>
    <xf numFmtId="0" fontId="20" fillId="0" borderId="47" xfId="0" applyFont="1" applyBorder="1" applyAlignment="1">
      <alignment horizontal="left" vertical="center"/>
    </xf>
    <xf numFmtId="0" fontId="12" fillId="0" borderId="48" xfId="0" applyFont="1" applyBorder="1"/>
    <xf numFmtId="0" fontId="12" fillId="0" borderId="49" xfId="0" applyFont="1" applyBorder="1"/>
    <xf numFmtId="0" fontId="48" fillId="0" borderId="0" xfId="0" applyFont="1" applyAlignment="1">
      <alignment horizontal="left" wrapText="1"/>
    </xf>
    <xf numFmtId="0" fontId="45" fillId="0" borderId="0" xfId="0" applyFont="1" applyAlignment="1">
      <alignment horizontal="left" vertical="center"/>
    </xf>
    <xf numFmtId="0" fontId="54" fillId="0" borderId="0" xfId="0" applyFont="1" applyAlignment="1">
      <alignment horizontal="left"/>
    </xf>
    <xf numFmtId="0" fontId="0" fillId="0" borderId="0" xfId="0" applyAlignment="1">
      <alignment horizontal="center" vertical="center"/>
    </xf>
    <xf numFmtId="0" fontId="47" fillId="0" borderId="0" xfId="0" applyFont="1" applyAlignment="1">
      <alignment horizontal="left" wrapText="1"/>
    </xf>
    <xf numFmtId="0" fontId="55" fillId="0" borderId="0" xfId="0" applyFont="1" applyAlignment="1">
      <alignment vertical="top" wrapText="1"/>
    </xf>
    <xf numFmtId="0" fontId="30" fillId="0" borderId="0" xfId="0" applyFont="1" applyAlignment="1">
      <alignment vertical="top" wrapText="1"/>
    </xf>
    <xf numFmtId="0" fontId="47" fillId="0" borderId="45" xfId="0" quotePrefix="1" applyFont="1" applyBorder="1" applyAlignment="1">
      <alignment horizontal="left" vertical="center"/>
    </xf>
    <xf numFmtId="0" fontId="47" fillId="0" borderId="45" xfId="0" applyFont="1" applyBorder="1" applyAlignment="1">
      <alignment horizontal="left" vertical="center"/>
    </xf>
    <xf numFmtId="0" fontId="13" fillId="0" borderId="0" xfId="1" applyProtection="1">
      <protection locked="0"/>
    </xf>
    <xf numFmtId="164" fontId="5" fillId="0" borderId="6" xfId="0" applyNumberFormat="1" applyFont="1" applyBorder="1" applyAlignment="1">
      <alignment horizontal="right"/>
    </xf>
    <xf numFmtId="0" fontId="49" fillId="0" borderId="0" xfId="0" applyFont="1" applyAlignment="1">
      <alignment horizontal="left" vertical="center"/>
    </xf>
    <xf numFmtId="0" fontId="58" fillId="0" borderId="0" xfId="0" applyFont="1" applyAlignment="1">
      <alignment vertical="center" wrapText="1"/>
    </xf>
    <xf numFmtId="0" fontId="12" fillId="0" borderId="4" xfId="0" applyFont="1" applyBorder="1" applyAlignment="1">
      <alignment horizontal="right" vertical="center"/>
    </xf>
    <xf numFmtId="0" fontId="3" fillId="0" borderId="8" xfId="0" applyFont="1" applyBorder="1" applyAlignment="1">
      <alignment horizontal="center" vertical="center"/>
    </xf>
    <xf numFmtId="0" fontId="12" fillId="0" borderId="2" xfId="0" applyFont="1" applyBorder="1" applyAlignment="1">
      <alignment horizontal="left" vertical="center"/>
    </xf>
    <xf numFmtId="0" fontId="61" fillId="0" borderId="0" xfId="0" applyFont="1" applyAlignment="1">
      <alignment vertical="top"/>
    </xf>
    <xf numFmtId="0" fontId="28" fillId="0" borderId="51" xfId="0" applyFont="1" applyBorder="1" applyAlignment="1">
      <alignment horizontal="left"/>
    </xf>
    <xf numFmtId="6" fontId="25" fillId="0" borderId="52" xfId="0" applyNumberFormat="1" applyFont="1" applyBorder="1"/>
    <xf numFmtId="0" fontId="28" fillId="0" borderId="51" xfId="0" applyFont="1" applyBorder="1"/>
    <xf numFmtId="6" fontId="25" fillId="0" borderId="41" xfId="0" applyNumberFormat="1" applyFont="1" applyBorder="1"/>
    <xf numFmtId="0" fontId="28" fillId="0" borderId="53" xfId="0" applyFont="1" applyBorder="1" applyAlignment="1">
      <alignment horizontal="left"/>
    </xf>
    <xf numFmtId="6" fontId="25" fillId="0" borderId="54" xfId="0" applyNumberFormat="1" applyFont="1" applyBorder="1"/>
    <xf numFmtId="0" fontId="12" fillId="0" borderId="23" xfId="0" applyFont="1" applyBorder="1" applyAlignment="1">
      <alignment horizontal="center" vertical="center"/>
    </xf>
    <xf numFmtId="0" fontId="59" fillId="0" borderId="1" xfId="0" applyFont="1" applyBorder="1" applyAlignment="1" applyProtection="1">
      <alignment horizontal="left" vertical="center"/>
      <protection locked="0"/>
    </xf>
    <xf numFmtId="0" fontId="9" fillId="0" borderId="0" xfId="0" applyFont="1" applyAlignment="1">
      <alignment horizontal="right"/>
    </xf>
    <xf numFmtId="0" fontId="49" fillId="0" borderId="0" xfId="0" applyFont="1" applyAlignment="1">
      <alignment vertical="center"/>
    </xf>
    <xf numFmtId="0" fontId="67" fillId="2" borderId="55" xfId="0" applyFont="1" applyFill="1" applyBorder="1" applyAlignment="1" applyProtection="1">
      <alignment horizontal="center" vertical="center"/>
      <protection locked="0"/>
    </xf>
    <xf numFmtId="0" fontId="52" fillId="0" borderId="0" xfId="0" applyFont="1" applyAlignment="1">
      <alignment horizontal="center"/>
    </xf>
    <xf numFmtId="0" fontId="37" fillId="0" borderId="0" xfId="0" applyFont="1" applyAlignment="1">
      <alignment horizontal="center" vertical="center"/>
    </xf>
    <xf numFmtId="0" fontId="36" fillId="0" borderId="0" xfId="0" applyFont="1" applyAlignment="1">
      <alignment horizontal="center" vertical="center"/>
    </xf>
    <xf numFmtId="0" fontId="47" fillId="0" borderId="2" xfId="0" applyFont="1" applyBorder="1" applyAlignment="1">
      <alignment horizontal="left" vertical="center"/>
    </xf>
    <xf numFmtId="0" fontId="47" fillId="0" borderId="4" xfId="0" applyFont="1" applyBorder="1" applyAlignment="1">
      <alignment horizontal="left" vertical="center"/>
    </xf>
    <xf numFmtId="0" fontId="12" fillId="0" borderId="0" xfId="0" applyFont="1" applyAlignment="1">
      <alignment horizontal="center" vertical="center"/>
    </xf>
    <xf numFmtId="0" fontId="47" fillId="2" borderId="2" xfId="0" applyFont="1" applyFill="1" applyBorder="1" applyAlignment="1" applyProtection="1">
      <alignment horizontal="left" vertical="center"/>
      <protection locked="0"/>
    </xf>
    <xf numFmtId="0" fontId="47" fillId="2" borderId="3" xfId="0" applyFont="1" applyFill="1" applyBorder="1" applyAlignment="1" applyProtection="1">
      <alignment horizontal="left" vertical="center"/>
      <protection locked="0"/>
    </xf>
    <xf numFmtId="0" fontId="47" fillId="2" borderId="4" xfId="0" applyFont="1" applyFill="1" applyBorder="1" applyAlignment="1" applyProtection="1">
      <alignment horizontal="left" vertical="center"/>
      <protection locked="0"/>
    </xf>
    <xf numFmtId="0" fontId="12" fillId="2" borderId="2" xfId="0" applyFont="1" applyFill="1" applyBorder="1" applyAlignment="1" applyProtection="1">
      <alignment horizontal="left" vertical="center"/>
      <protection locked="0"/>
    </xf>
    <xf numFmtId="0" fontId="12" fillId="2" borderId="3" xfId="0" applyFont="1" applyFill="1" applyBorder="1" applyAlignment="1" applyProtection="1">
      <alignment horizontal="left" vertical="center"/>
      <protection locked="0"/>
    </xf>
    <xf numFmtId="0" fontId="12" fillId="2" borderId="4" xfId="0" applyFont="1" applyFill="1" applyBorder="1" applyAlignment="1" applyProtection="1">
      <alignment horizontal="left" vertical="center"/>
      <protection locked="0"/>
    </xf>
    <xf numFmtId="0" fontId="47" fillId="0" borderId="0" xfId="0" applyFont="1" applyAlignment="1">
      <alignment horizontal="left" wrapText="1"/>
    </xf>
    <xf numFmtId="0" fontId="48" fillId="0" borderId="0" xfId="0" applyFont="1" applyAlignment="1">
      <alignment horizontal="left" vertical="center" wrapText="1"/>
    </xf>
    <xf numFmtId="0" fontId="18" fillId="0" borderId="0" xfId="0" applyFont="1" applyAlignment="1">
      <alignment horizontal="center" vertical="center"/>
    </xf>
    <xf numFmtId="0" fontId="17" fillId="0" borderId="0" xfId="0" applyFont="1" applyAlignment="1">
      <alignment horizontal="center"/>
    </xf>
    <xf numFmtId="0" fontId="31" fillId="0" borderId="0" xfId="0" applyFont="1" applyAlignment="1">
      <alignment horizontal="center"/>
    </xf>
    <xf numFmtId="0" fontId="47" fillId="0" borderId="42" xfId="0" applyFont="1" applyBorder="1" applyAlignment="1">
      <alignment horizontal="left" wrapText="1"/>
    </xf>
    <xf numFmtId="0" fontId="47" fillId="0" borderId="43" xfId="0" applyFont="1" applyBorder="1" applyAlignment="1">
      <alignment horizontal="left" wrapText="1"/>
    </xf>
    <xf numFmtId="0" fontId="12" fillId="0" borderId="29" xfId="0" applyFont="1" applyBorder="1" applyAlignment="1">
      <alignment horizontal="right" vertical="center"/>
    </xf>
    <xf numFmtId="0" fontId="12" fillId="0" borderId="30" xfId="0" applyFont="1" applyBorder="1" applyAlignment="1">
      <alignment horizontal="right" vertical="center"/>
    </xf>
    <xf numFmtId="0" fontId="12" fillId="0" borderId="31" xfId="0" applyFont="1" applyBorder="1" applyAlignment="1">
      <alignment horizontal="right" vertical="center"/>
    </xf>
    <xf numFmtId="0" fontId="12" fillId="0" borderId="2" xfId="0" applyFont="1" applyBorder="1" applyAlignment="1">
      <alignment horizontal="right" vertical="center"/>
    </xf>
    <xf numFmtId="0" fontId="12" fillId="0" borderId="3" xfId="0" applyFont="1" applyBorder="1" applyAlignment="1">
      <alignment horizontal="right" vertical="center"/>
    </xf>
    <xf numFmtId="0" fontId="12" fillId="0" borderId="4" xfId="0" applyFont="1" applyBorder="1" applyAlignment="1">
      <alignment horizontal="right" vertical="center"/>
    </xf>
    <xf numFmtId="0" fontId="15" fillId="0" borderId="32" xfId="0" applyFont="1" applyBorder="1" applyAlignment="1">
      <alignment horizontal="center"/>
    </xf>
    <xf numFmtId="0" fontId="15" fillId="0" borderId="33" xfId="0" applyFont="1" applyBorder="1" applyAlignment="1">
      <alignment horizontal="center"/>
    </xf>
    <xf numFmtId="0" fontId="15" fillId="0" borderId="34"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15" fillId="0" borderId="27" xfId="0" applyFont="1" applyBorder="1" applyAlignment="1">
      <alignment horizontal="center"/>
    </xf>
    <xf numFmtId="0" fontId="12" fillId="0" borderId="0" xfId="0" applyFont="1" applyAlignment="1">
      <alignment horizontal="right" vertical="center"/>
    </xf>
    <xf numFmtId="0" fontId="47" fillId="0" borderId="45" xfId="0" applyFont="1" applyBorder="1" applyAlignment="1">
      <alignment horizontal="left" wrapText="1"/>
    </xf>
    <xf numFmtId="0" fontId="62" fillId="2" borderId="2" xfId="0" applyFont="1" applyFill="1" applyBorder="1" applyAlignment="1" applyProtection="1">
      <alignment horizontal="left" vertical="center"/>
      <protection locked="0"/>
    </xf>
    <xf numFmtId="0" fontId="62" fillId="2" borderId="3" xfId="0" applyFont="1" applyFill="1" applyBorder="1" applyAlignment="1" applyProtection="1">
      <alignment horizontal="left" vertical="center"/>
      <protection locked="0"/>
    </xf>
    <xf numFmtId="0" fontId="62" fillId="2" borderId="4" xfId="0" applyFont="1" applyFill="1" applyBorder="1" applyAlignment="1" applyProtection="1">
      <alignment horizontal="left" vertical="center"/>
      <protection locked="0"/>
    </xf>
    <xf numFmtId="0" fontId="51" fillId="0" borderId="0" xfId="0" applyFont="1" applyAlignment="1">
      <alignment horizontal="center" wrapText="1"/>
    </xf>
    <xf numFmtId="0" fontId="51" fillId="0" borderId="0" xfId="0" applyFont="1" applyAlignment="1">
      <alignment horizontal="center"/>
    </xf>
    <xf numFmtId="0" fontId="48" fillId="0" borderId="0" xfId="0" applyFont="1" applyAlignment="1">
      <alignment horizontal="center" wrapText="1"/>
    </xf>
    <xf numFmtId="0" fontId="47" fillId="0" borderId="0" xfId="0" applyFont="1" applyAlignment="1">
      <alignment horizontal="center" wrapText="1"/>
    </xf>
    <xf numFmtId="0" fontId="32" fillId="0" borderId="25"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27" xfId="0" applyFont="1" applyBorder="1" applyAlignment="1">
      <alignment horizontal="center" vertical="center" wrapText="1"/>
    </xf>
    <xf numFmtId="0" fontId="49" fillId="0" borderId="0" xfId="0" applyFont="1" applyAlignment="1">
      <alignment horizontal="center"/>
    </xf>
    <xf numFmtId="0" fontId="15" fillId="0" borderId="35" xfId="0" applyFont="1" applyBorder="1" applyAlignment="1">
      <alignment horizontal="right" vertical="center"/>
    </xf>
    <xf numFmtId="0" fontId="15" fillId="0" borderId="26" xfId="0" applyFont="1" applyBorder="1" applyAlignment="1">
      <alignment horizontal="right" vertical="center"/>
    </xf>
    <xf numFmtId="0" fontId="15" fillId="0" borderId="36" xfId="0" applyFont="1" applyBorder="1" applyAlignment="1">
      <alignment horizontal="right" vertical="center"/>
    </xf>
    <xf numFmtId="0" fontId="47" fillId="0" borderId="2" xfId="0" applyFont="1" applyBorder="1" applyAlignment="1">
      <alignment horizontal="right" vertical="center"/>
    </xf>
    <xf numFmtId="0" fontId="47" fillId="0" borderId="4" xfId="0" applyFont="1" applyBorder="1" applyAlignment="1">
      <alignment horizontal="right" vertical="center"/>
    </xf>
    <xf numFmtId="14" fontId="12" fillId="2" borderId="2" xfId="0" applyNumberFormat="1" applyFont="1" applyFill="1" applyBorder="1" applyAlignment="1" applyProtection="1">
      <alignment horizontal="center" vertical="center"/>
      <protection locked="0"/>
    </xf>
    <xf numFmtId="14" fontId="12" fillId="2" borderId="4" xfId="0" applyNumberFormat="1"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12" fillId="2" borderId="4" xfId="0" applyFont="1" applyFill="1" applyBorder="1" applyAlignment="1" applyProtection="1">
      <alignment horizontal="center" vertical="center"/>
      <protection locked="0"/>
    </xf>
    <xf numFmtId="166" fontId="12" fillId="2" borderId="2" xfId="0" applyNumberFormat="1" applyFont="1" applyFill="1" applyBorder="1" applyAlignment="1" applyProtection="1">
      <alignment horizontal="left" vertical="center"/>
      <protection locked="0"/>
    </xf>
    <xf numFmtId="166" fontId="12" fillId="2" borderId="3" xfId="0" applyNumberFormat="1" applyFont="1" applyFill="1" applyBorder="1" applyAlignment="1" applyProtection="1">
      <alignment horizontal="left" vertical="center"/>
      <protection locked="0"/>
    </xf>
    <xf numFmtId="166" fontId="12" fillId="2" borderId="4" xfId="0" applyNumberFormat="1" applyFont="1" applyFill="1" applyBorder="1" applyAlignment="1" applyProtection="1">
      <alignment horizontal="left" vertical="center"/>
      <protection locked="0"/>
    </xf>
    <xf numFmtId="164" fontId="5" fillId="0" borderId="10" xfId="0" applyNumberFormat="1" applyFont="1" applyBorder="1" applyAlignment="1">
      <alignment horizontal="right" vertical="center"/>
    </xf>
    <xf numFmtId="164" fontId="5" fillId="0" borderId="28" xfId="0" applyNumberFormat="1" applyFont="1" applyBorder="1" applyAlignment="1">
      <alignment horizontal="right" vertical="center"/>
    </xf>
    <xf numFmtId="164" fontId="5" fillId="0" borderId="11" xfId="0" applyNumberFormat="1" applyFont="1" applyBorder="1" applyAlignment="1">
      <alignment horizontal="right" vertical="center"/>
    </xf>
    <xf numFmtId="0" fontId="9" fillId="0" borderId="20" xfId="0" applyFont="1" applyBorder="1" applyAlignment="1">
      <alignment horizontal="right"/>
    </xf>
    <xf numFmtId="0" fontId="9" fillId="0" borderId="21" xfId="0" applyFont="1" applyBorder="1" applyAlignment="1">
      <alignment horizontal="right"/>
    </xf>
    <xf numFmtId="164" fontId="5" fillId="0" borderId="10" xfId="0" applyNumberFormat="1" applyFont="1" applyBorder="1" applyAlignment="1">
      <alignment vertical="center"/>
    </xf>
    <xf numFmtId="164" fontId="5" fillId="0" borderId="28" xfId="0" applyNumberFormat="1" applyFont="1" applyBorder="1" applyAlignment="1">
      <alignment vertical="center"/>
    </xf>
    <xf numFmtId="164" fontId="5" fillId="0" borderId="11" xfId="0" applyNumberFormat="1" applyFont="1" applyBorder="1" applyAlignment="1">
      <alignment vertical="center"/>
    </xf>
    <xf numFmtId="0" fontId="5" fillId="0" borderId="18" xfId="0" applyFont="1" applyBorder="1" applyAlignment="1">
      <alignment horizontal="right"/>
    </xf>
    <xf numFmtId="0" fontId="5" fillId="0" borderId="1" xfId="0" applyFont="1" applyBorder="1" applyAlignment="1">
      <alignment horizontal="right"/>
    </xf>
    <xf numFmtId="0" fontId="9" fillId="0" borderId="12" xfId="0" applyFont="1" applyBorder="1" applyAlignment="1">
      <alignment horizontal="center"/>
    </xf>
    <xf numFmtId="0" fontId="9" fillId="0" borderId="13" xfId="0" applyFont="1" applyBorder="1" applyAlignment="1">
      <alignment horizontal="center"/>
    </xf>
    <xf numFmtId="0" fontId="9" fillId="0" borderId="14" xfId="0" applyFont="1" applyBorder="1" applyAlignment="1">
      <alignment horizontal="center"/>
    </xf>
    <xf numFmtId="0" fontId="5" fillId="0" borderId="15" xfId="0" applyFont="1" applyBorder="1" applyAlignment="1">
      <alignment horizontal="right"/>
    </xf>
    <xf numFmtId="0" fontId="5" fillId="0" borderId="16" xfId="0" applyFont="1" applyBorder="1" applyAlignment="1">
      <alignment horizontal="right"/>
    </xf>
    <xf numFmtId="0" fontId="26" fillId="0" borderId="0" xfId="0" applyFont="1" applyAlignment="1">
      <alignment horizontal="center"/>
    </xf>
    <xf numFmtId="0" fontId="4" fillId="0" borderId="40" xfId="0" applyFont="1" applyBorder="1" applyAlignment="1">
      <alignment horizontal="center"/>
    </xf>
    <xf numFmtId="0" fontId="4" fillId="0" borderId="50" xfId="0" applyFont="1" applyBorder="1" applyAlignment="1">
      <alignment horizontal="center"/>
    </xf>
    <xf numFmtId="0" fontId="38" fillId="0" borderId="0" xfId="0" applyFont="1" applyAlignment="1">
      <alignment horizontal="center"/>
    </xf>
    <xf numFmtId="0" fontId="24" fillId="0" borderId="0" xfId="0" applyFont="1" applyAlignment="1">
      <alignment horizontal="center"/>
    </xf>
    <xf numFmtId="0" fontId="33" fillId="0" borderId="0" xfId="0" applyFont="1" applyAlignment="1">
      <alignment horizontal="center" vertical="center" wrapText="1"/>
    </xf>
    <xf numFmtId="0" fontId="33" fillId="0" borderId="0" xfId="0" applyFont="1" applyAlignment="1">
      <alignment horizontal="center" vertical="center"/>
    </xf>
    <xf numFmtId="0" fontId="40" fillId="0" borderId="0" xfId="0" applyFont="1" applyAlignment="1">
      <alignment horizontal="center"/>
    </xf>
    <xf numFmtId="0" fontId="16" fillId="0" borderId="0" xfId="0" applyFont="1" applyAlignment="1">
      <alignment horizontal="center"/>
    </xf>
    <xf numFmtId="0" fontId="6" fillId="0" borderId="0" xfId="0" applyFont="1" applyAlignment="1">
      <alignment horizontal="left" vertical="center"/>
    </xf>
    <xf numFmtId="0" fontId="40"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colors>
    <mruColors>
      <color rgb="FF00FFCC"/>
      <color rgb="FF660066"/>
      <color rgb="FF7030A0"/>
      <color rgb="FFFFC000"/>
      <color rgb="FFA5A5A5"/>
      <color rgb="FF000000"/>
      <color rgb="FFCC0000"/>
      <color rgb="FF9BC2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8654</xdr:rowOff>
    </xdr:from>
    <xdr:to>
      <xdr:col>12</xdr:col>
      <xdr:colOff>0</xdr:colOff>
      <xdr:row>174</xdr:row>
      <xdr:rowOff>8659</xdr:rowOff>
    </xdr:to>
    <xdr:sp macro="" textlink="">
      <xdr:nvSpPr>
        <xdr:cNvPr id="2" name="TextBox 1">
          <a:extLst>
            <a:ext uri="{FF2B5EF4-FFF2-40B4-BE49-F238E27FC236}">
              <a16:creationId xmlns:a16="http://schemas.microsoft.com/office/drawing/2014/main" id="{02D6D1C5-B3F2-4D87-8BE4-155B9A8959FC}"/>
            </a:ext>
          </a:extLst>
        </xdr:cNvPr>
        <xdr:cNvSpPr txBox="1"/>
      </xdr:nvSpPr>
      <xdr:spPr>
        <a:xfrm>
          <a:off x="155864" y="831268"/>
          <a:ext cx="6477000" cy="323850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1000"/>
            </a:spcAft>
            <a:buClrTx/>
            <a:buSzTx/>
            <a:buFontTx/>
            <a:buNone/>
            <a:tabLst/>
            <a:defRPr/>
          </a:pPr>
          <a:endParaRPr lang="en-GB" sz="1100" b="1"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endParaRPr lang="en-GB" sz="1100" b="1" u="sng"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ts val="1500"/>
            </a:lnSpc>
            <a:spcBef>
              <a:spcPts val="0"/>
            </a:spcBef>
            <a:spcAft>
              <a:spcPts val="1000"/>
            </a:spcAft>
            <a:buClrTx/>
            <a:buSzTx/>
            <a:buFontTx/>
            <a:buNone/>
            <a:tabLst/>
            <a:defRPr/>
          </a:pPr>
          <a:r>
            <a:rPr lang="en-GB" sz="1100" b="1" u="none" baseline="0">
              <a:solidFill>
                <a:schemeClr val="dk1"/>
              </a:solidFill>
              <a:effectLst/>
              <a:latin typeface="Arial" panose="020B0604020202020204" pitchFamily="34" charset="0"/>
              <a:ea typeface="+mn-ea"/>
              <a:cs typeface="Arial" panose="020B0604020202020204" pitchFamily="34" charset="0"/>
            </a:rPr>
            <a:t>We know this looks a lot to take in but we'd appreciate it if you (</a:t>
          </a:r>
          <a:r>
            <a:rPr lang="en-GB" sz="1100" b="1" i="1" u="none" baseline="0">
              <a:solidFill>
                <a:schemeClr val="dk1"/>
              </a:solidFill>
              <a:effectLst/>
              <a:latin typeface="Arial" panose="020B0604020202020204" pitchFamily="34" charset="0"/>
              <a:ea typeface="+mn-ea"/>
              <a:cs typeface="Arial" panose="020B0604020202020204" pitchFamily="34" charset="0"/>
            </a:rPr>
            <a:t>and that means especially those new to it</a:t>
          </a:r>
          <a:r>
            <a:rPr lang="en-GB" sz="1100" b="1" u="none" baseline="0">
              <a:solidFill>
                <a:schemeClr val="dk1"/>
              </a:solidFill>
              <a:effectLst/>
              <a:latin typeface="Arial" panose="020B0604020202020204" pitchFamily="34" charset="0"/>
              <a:ea typeface="+mn-ea"/>
              <a:cs typeface="Arial" panose="020B0604020202020204" pitchFamily="34" charset="0"/>
            </a:rPr>
            <a:t>) take the time to read through the following after checking that you can comply with the conditions in the box above. It helps enormously if everybody follows the same processes for submitting entries to our competitions using this method. We normally have well over a thousand entrants from over eighty clubs and keeping them all straight is sometimes a challenge: please follow the procedures given below!</a:t>
          </a:r>
        </a:p>
        <a:p>
          <a:pPr marL="0" marR="0" lvl="0" indent="0" defTabSz="914400" eaLnBrk="1" fontAlgn="auto" latinLnBrk="0" hangingPunct="1">
            <a:lnSpc>
              <a:spcPts val="1500"/>
            </a:lnSpc>
            <a:spcBef>
              <a:spcPts val="0"/>
            </a:spcBef>
            <a:spcAft>
              <a:spcPts val="1000"/>
            </a:spcAft>
            <a:buClrTx/>
            <a:buSzTx/>
            <a:buFontTx/>
            <a:buNone/>
            <a:tabLst/>
            <a:defRPr/>
          </a:pPr>
          <a:r>
            <a:rPr lang="en-GB" sz="1100" b="1" u="none" baseline="0">
              <a:solidFill>
                <a:schemeClr val="dk1"/>
              </a:solidFill>
              <a:effectLst/>
              <a:latin typeface="Arial" panose="020B0604020202020204" pitchFamily="34" charset="0"/>
              <a:ea typeface="+mn-ea"/>
              <a:cs typeface="Arial" panose="020B0604020202020204" pitchFamily="34" charset="0"/>
            </a:rPr>
            <a:t>1. General</a:t>
          </a:r>
          <a:br>
            <a:rPr lang="en-GB" sz="1100" b="1" u="sng" baseline="0">
              <a:solidFill>
                <a:schemeClr val="dk1"/>
              </a:solidFill>
              <a:effectLst/>
              <a:latin typeface="Arial" panose="020B0604020202020204" pitchFamily="34" charset="0"/>
              <a:ea typeface="+mn-ea"/>
              <a:cs typeface="Arial" panose="020B0604020202020204" pitchFamily="34" charset="0"/>
            </a:rPr>
          </a:br>
          <a:r>
            <a:rPr lang="en-GB" sz="1100" b="1" u="none" baseline="0">
              <a:solidFill>
                <a:schemeClr val="dk1"/>
              </a:solidFill>
              <a:effectLst/>
              <a:latin typeface="Arial" panose="020B0604020202020204" pitchFamily="34" charset="0"/>
              <a:ea typeface="+mn-ea"/>
              <a:cs typeface="Arial" panose="020B0604020202020204" pitchFamily="34" charset="0"/>
            </a:rPr>
            <a:t>1a</a:t>
          </a:r>
          <a:r>
            <a:rPr lang="en-GB" sz="1100" baseline="0">
              <a:latin typeface="Arial" panose="020B0604020202020204" pitchFamily="34" charset="0"/>
              <a:cs typeface="Arial" panose="020B0604020202020204" pitchFamily="34" charset="0"/>
            </a:rPr>
            <a:t> You should always read the </a:t>
          </a:r>
          <a:r>
            <a:rPr lang="en-GB" sz="1100" i="1" baseline="0">
              <a:latin typeface="Arial" panose="020B0604020202020204" pitchFamily="34" charset="0"/>
              <a:cs typeface="Arial" panose="020B0604020202020204" pitchFamily="34" charset="0"/>
            </a:rPr>
            <a:t>League Information </a:t>
          </a:r>
          <a:r>
            <a:rPr lang="en-GB" sz="1100" baseline="0">
              <a:latin typeface="Arial" panose="020B0604020202020204" pitchFamily="34" charset="0"/>
              <a:cs typeface="Arial" panose="020B0604020202020204" pitchFamily="34" charset="0"/>
            </a:rPr>
            <a:t>document that accompanies this file. It gives details of how the competitions are run and, in particular, conditions that might have changed since last season that you ought to know about. It also specifies how averages are to be calculated and summarises the shooting conditions for all our competitions. The full and definitive conditions of shooting each competition are given on our website at </a:t>
          </a:r>
          <a:br>
            <a:rPr lang="en-GB" sz="1100" baseline="0">
              <a:latin typeface="Arial" panose="020B0604020202020204" pitchFamily="34" charset="0"/>
              <a:cs typeface="Arial" panose="020B0604020202020204" pitchFamily="34" charset="0"/>
            </a:rPr>
          </a:br>
          <a:r>
            <a:rPr lang="en-GB" sz="1100" baseline="0">
              <a:latin typeface="Arial" panose="020B0604020202020204" pitchFamily="34" charset="0"/>
              <a:cs typeface="Arial" panose="020B0604020202020204" pitchFamily="34" charset="0"/>
            </a:rPr>
            <a:t>	</a:t>
          </a:r>
          <a:r>
            <a:rPr lang="en-GB" sz="1100" i="1" baseline="0">
              <a:latin typeface="Arial" panose="020B0604020202020204" pitchFamily="34" charset="0"/>
              <a:cs typeface="Arial" panose="020B0604020202020204" pitchFamily="34" charset="0"/>
            </a:rPr>
            <a:t>www.cntsa2.org.uk/wp-content/uploads/rules/Competition%20Rules.pdf</a:t>
          </a:r>
          <a:br>
            <a:rPr lang="en-GB" sz="1100" baseline="0">
              <a:latin typeface="Arial" panose="020B0604020202020204" pitchFamily="34" charset="0"/>
              <a:cs typeface="Arial" panose="020B0604020202020204" pitchFamily="34" charset="0"/>
            </a:rPr>
          </a:br>
          <a:r>
            <a:rPr lang="en-GB" sz="1100" i="0" baseline="0">
              <a:latin typeface="Arial" panose="020B0604020202020204" pitchFamily="34" charset="0"/>
              <a:cs typeface="Arial" panose="020B0604020202020204" pitchFamily="34" charset="0"/>
            </a:rPr>
            <a:t>but are also provided here in the </a:t>
          </a:r>
          <a:r>
            <a:rPr lang="en-GB" sz="1100" i="1" baseline="0">
              <a:latin typeface="Arial" panose="020B0604020202020204" pitchFamily="34" charset="0"/>
              <a:cs typeface="Arial" panose="020B0604020202020204" pitchFamily="34" charset="0"/>
            </a:rPr>
            <a:t>Conditions</a:t>
          </a:r>
          <a:r>
            <a:rPr lang="en-GB" sz="1100" i="0" baseline="0">
              <a:latin typeface="Arial" panose="020B0604020202020204" pitchFamily="34" charset="0"/>
              <a:cs typeface="Arial" panose="020B0604020202020204" pitchFamily="34" charset="0"/>
            </a:rPr>
            <a:t> sheet for ease of reference. The above document also contains our bespoke C&amp;NTSA Rules and Guidelines - please review those, especially first-timers.</a:t>
          </a:r>
          <a:br>
            <a:rPr lang="en-GB" sz="1100"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1b</a:t>
          </a:r>
          <a:r>
            <a:rPr lang="en-GB" sz="1100" baseline="0">
              <a:latin typeface="Arial" panose="020B0604020202020204" pitchFamily="34" charset="0"/>
              <a:cs typeface="Arial" panose="020B0604020202020204" pitchFamily="34" charset="0"/>
            </a:rPr>
            <a:t> Users of Excel 365 on phones or smaller tablets should hold the device in portrait (vertical) orientation or else the pop-up keyboard will probably obscure the data-entry fields: pinching the screen in landscape mode to re-size it to make them visible also makes the fields a little too small to use easily. A larger device is recommended.</a:t>
          </a:r>
        </a:p>
        <a:p>
          <a:pPr marL="0" marR="0" lvl="0" indent="0" defTabSz="914400" eaLnBrk="1" fontAlgn="auto" latinLnBrk="0" hangingPunct="1">
            <a:lnSpc>
              <a:spcPts val="1500"/>
            </a:lnSpc>
            <a:spcBef>
              <a:spcPts val="0"/>
            </a:spcBef>
            <a:spcAft>
              <a:spcPts val="1000"/>
            </a:spcAft>
            <a:buClrTx/>
            <a:buSzTx/>
            <a:buFontTx/>
            <a:buNone/>
            <a:tabLst/>
            <a:defRPr/>
          </a:pPr>
          <a:r>
            <a:rPr lang="en-GB" sz="1100" b="1" baseline="0">
              <a:latin typeface="Arial" panose="020B0604020202020204" pitchFamily="34" charset="0"/>
              <a:cs typeface="Arial" panose="020B0604020202020204" pitchFamily="34" charset="0"/>
            </a:rPr>
            <a:t>2. Initial setup</a:t>
          </a:r>
          <a:r>
            <a:rPr lang="en-GB" sz="1100" b="0" baseline="0">
              <a:latin typeface="Arial" panose="020B0604020202020204" pitchFamily="34" charset="0"/>
              <a:cs typeface="Arial" panose="020B0604020202020204" pitchFamily="34" charset="0"/>
            </a:rPr>
            <a:t> (after downloading and opening this file from the email it was sent to you in)</a:t>
          </a:r>
          <a:br>
            <a:rPr lang="en-GB" sz="1100" b="0" baseline="0">
              <a:latin typeface="Arial" panose="020B0604020202020204" pitchFamily="34" charset="0"/>
              <a:cs typeface="Arial" panose="020B0604020202020204" pitchFamily="34" charset="0"/>
            </a:rPr>
          </a:br>
          <a:r>
            <a:rPr lang="en-GB" sz="1100" b="0" baseline="0">
              <a:solidFill>
                <a:schemeClr val="dk1"/>
              </a:solidFill>
              <a:effectLst/>
              <a:latin typeface="Arial" panose="020B0604020202020204" pitchFamily="34" charset="0"/>
              <a:ea typeface="+mn-ea"/>
              <a:cs typeface="Arial" panose="020B0604020202020204" pitchFamily="34" charset="0"/>
            </a:rPr>
            <a:t>Open the </a:t>
          </a:r>
          <a:r>
            <a:rPr lang="en-GB" sz="1100" b="0" i="1" baseline="0">
              <a:solidFill>
                <a:schemeClr val="dk1"/>
              </a:solidFill>
              <a:effectLst/>
              <a:latin typeface="Arial" panose="020B0604020202020204" pitchFamily="34" charset="0"/>
              <a:ea typeface="+mn-ea"/>
              <a:cs typeface="Arial" panose="020B0604020202020204" pitchFamily="34" charset="0"/>
            </a:rPr>
            <a:t>Submission</a:t>
          </a:r>
          <a:r>
            <a:rPr lang="en-GB" sz="1100" b="0" baseline="0">
              <a:solidFill>
                <a:schemeClr val="dk1"/>
              </a:solidFill>
              <a:effectLst/>
              <a:latin typeface="Arial" panose="020B0604020202020204" pitchFamily="34" charset="0"/>
              <a:ea typeface="+mn-ea"/>
              <a:cs typeface="Arial" panose="020B0604020202020204" pitchFamily="34" charset="0"/>
            </a:rPr>
            <a:t> sheet, then</a:t>
          </a:r>
          <a:r>
            <a:rPr lang="en-GB" sz="1100" b="1" baseline="0">
              <a:solidFill>
                <a:schemeClr val="dk1"/>
              </a:solidFill>
              <a:effectLst/>
              <a:latin typeface="Arial" panose="020B0604020202020204" pitchFamily="34" charset="0"/>
              <a:ea typeface="+mn-ea"/>
              <a:cs typeface="Arial" panose="020B0604020202020204" pitchFamily="34" charset="0"/>
            </a:rPr>
            <a:t>:</a:t>
          </a:r>
          <a:br>
            <a:rPr lang="en-GB" sz="1100" baseline="0">
              <a:solidFill>
                <a:schemeClr val="dk1"/>
              </a:solidFill>
              <a:effectLst/>
              <a:latin typeface="+mn-lt"/>
              <a:ea typeface="+mn-ea"/>
              <a:cs typeface="+mn-cs"/>
            </a:rPr>
          </a:br>
          <a:r>
            <a:rPr lang="en-GB" sz="1100" b="1" baseline="0">
              <a:solidFill>
                <a:schemeClr val="dk1"/>
              </a:solidFill>
              <a:effectLst/>
              <a:latin typeface="Arial" panose="020B0604020202020204" pitchFamily="34" charset="0"/>
              <a:ea typeface="+mn-ea"/>
              <a:cs typeface="Arial" panose="020B0604020202020204" pitchFamily="34" charset="0"/>
            </a:rPr>
            <a:t>2a </a:t>
          </a:r>
          <a:r>
            <a:rPr lang="en-GB" sz="1100" baseline="0">
              <a:latin typeface="Arial" panose="020B0604020202020204" pitchFamily="34" charset="0"/>
              <a:cs typeface="Arial" panose="020B0604020202020204" pitchFamily="34" charset="0"/>
            </a:rPr>
            <a:t>Enter an 'x' in the GDPR permission box and your name in the 'Signed' line (it will appear in a cheesy scripty-type font to simulate a signature) and the date in the line below that. Please also provide your position in the club (e.g. Secretary, Match Sec, discipline captain etc).</a:t>
          </a:r>
          <a:br>
            <a:rPr lang="en-GB" sz="1100" baseline="0">
              <a:latin typeface="Arial" panose="020B0604020202020204" pitchFamily="34" charset="0"/>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2b</a:t>
          </a:r>
          <a:r>
            <a:rPr lang="en-GB" sz="1100" baseline="0">
              <a:solidFill>
                <a:schemeClr val="dk1"/>
              </a:solidFill>
              <a:effectLst/>
              <a:latin typeface="Arial" panose="020B0604020202020204" pitchFamily="34" charset="0"/>
              <a:ea typeface="+mn-ea"/>
              <a:cs typeface="Arial" panose="020B0604020202020204" pitchFamily="34" charset="0"/>
            </a:rPr>
            <a:t> Replace the dummy clubname already there with your club's name. Please just give a basic name and not your full 'Sunday' name as perhaps is given in your Constitution: we will still know who you are. If it's too long, we will shorten it. There is no need to put 'Rifle Club' or similar words after the club name. That's a given and we will not use them anyway.</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2c</a:t>
          </a:r>
          <a:r>
            <a:rPr lang="en-GB" sz="1100" baseline="0">
              <a:solidFill>
                <a:schemeClr val="dk1"/>
              </a:solidFill>
              <a:effectLst/>
              <a:latin typeface="Arial" panose="020B0604020202020204" pitchFamily="34" charset="0"/>
              <a:ea typeface="+mn-ea"/>
              <a:cs typeface="Arial" panose="020B0604020202020204" pitchFamily="34" charset="0"/>
            </a:rPr>
            <a:t> Enter</a:t>
          </a:r>
          <a:r>
            <a:rPr lang="en-GB" sz="1100" baseline="0">
              <a:latin typeface="Arial" panose="020B0604020202020204" pitchFamily="34" charset="0"/>
              <a:cs typeface="Arial" panose="020B0604020202020204" pitchFamily="34" charset="0"/>
            </a:rPr>
            <a:t> your name, address and other contact details in the spaces provided. </a:t>
          </a:r>
          <a:br>
            <a:rPr lang="en-GB" sz="1100"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2d</a:t>
          </a:r>
          <a:r>
            <a:rPr lang="en-GB" sz="1100" baseline="0">
              <a:latin typeface="Arial" panose="020B0604020202020204" pitchFamily="34" charset="0"/>
              <a:cs typeface="Arial" panose="020B0604020202020204" pitchFamily="34" charset="0"/>
            </a:rPr>
            <a:t> If anyone else in your club wishes to have the round-by-round results emailed to them, please give their email address in the space provided, and the discipline(s) they have an interest in. This is to allow scorers to contact the right person in the club if they need to get in touch about anything.</a:t>
          </a:r>
          <a:br>
            <a:rPr lang="en-GB" sz="1100"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2e</a:t>
          </a:r>
          <a:r>
            <a:rPr lang="en-GB" sz="1100" baseline="0">
              <a:latin typeface="Arial" panose="020B0604020202020204" pitchFamily="34" charset="0"/>
              <a:cs typeface="Arial" panose="020B0604020202020204" pitchFamily="34" charset="0"/>
            </a:rPr>
            <a:t> </a:t>
          </a:r>
          <a:r>
            <a:rPr lang="en-GB" sz="1100" baseline="0">
              <a:solidFill>
                <a:schemeClr val="dk1"/>
              </a:solidFill>
              <a:effectLst/>
              <a:latin typeface="Arial" panose="020B0604020202020204" pitchFamily="34" charset="0"/>
              <a:ea typeface="+mn-ea"/>
              <a:cs typeface="Arial" panose="020B0604020202020204" pitchFamily="34" charset="0"/>
            </a:rPr>
            <a:t>Save this file on your device or your favourite cloud storage service using Excel's 'save as' function under the 'File' menu item (use 'Save a Copy</a:t>
          </a:r>
          <a:r>
            <a:rPr lang="en-GB" sz="1100" baseline="0">
              <a:solidFill>
                <a:schemeClr val="dk1"/>
              </a:solidFill>
              <a:effectLst/>
              <a:latin typeface="Bahnschrift SemiCondensed" panose="020B0502040204020203" pitchFamily="34" charset="0"/>
              <a:ea typeface="+mn-ea"/>
              <a:cs typeface="Arial" panose="020B0604020202020204" pitchFamily="34" charset="0"/>
            </a:rPr>
            <a:t>' </a:t>
          </a:r>
          <a:r>
            <a:rPr lang="en-GB" sz="1100" baseline="0">
              <a:solidFill>
                <a:schemeClr val="dk1"/>
              </a:solidFill>
              <a:effectLst/>
              <a:latin typeface="Arial" panose="020B0604020202020204" pitchFamily="34" charset="0"/>
              <a:ea typeface="+mn-ea"/>
              <a:cs typeface="Arial" panose="020B0604020202020204" pitchFamily="34" charset="0"/>
            </a:rPr>
            <a:t>under the three dots at top right on tablet/phone devices) using the name of your club or a recognisable contraction of it as the file name (the name you gave in </a:t>
          </a:r>
          <a:r>
            <a:rPr lang="en-GB" sz="1100" b="1" baseline="0">
              <a:solidFill>
                <a:schemeClr val="dk1"/>
              </a:solidFill>
              <a:effectLst/>
              <a:latin typeface="Arial" panose="020B0604020202020204" pitchFamily="34" charset="0"/>
              <a:ea typeface="+mn-ea"/>
              <a:cs typeface="Arial" panose="020B0604020202020204" pitchFamily="34" charset="0"/>
            </a:rPr>
            <a:t>2b</a:t>
          </a:r>
          <a:r>
            <a:rPr lang="en-GB" sz="1100" baseline="0">
              <a:solidFill>
                <a:schemeClr val="dk1"/>
              </a:solidFill>
              <a:effectLst/>
              <a:latin typeface="Arial" panose="020B0604020202020204" pitchFamily="34" charset="0"/>
              <a:ea typeface="+mn-ea"/>
              <a:cs typeface="Arial" panose="020B0604020202020204" pitchFamily="34" charset="0"/>
            </a:rPr>
            <a:t> above would be good)  </a:t>
          </a:r>
        </a:p>
        <a:p>
          <a:pPr marL="0" marR="0" lvl="0" indent="0" defTabSz="914400" eaLnBrk="1" fontAlgn="auto" latinLnBrk="0" hangingPunct="1">
            <a:lnSpc>
              <a:spcPts val="1500"/>
            </a:lnSpc>
            <a:spcBef>
              <a:spcPts val="0"/>
            </a:spcBef>
            <a:spcAft>
              <a:spcPts val="1000"/>
            </a:spcAft>
            <a:buClrTx/>
            <a:buSzTx/>
            <a:buFontTx/>
            <a:buNone/>
            <a:tabLst/>
            <a:defRPr/>
          </a:pPr>
          <a:r>
            <a:rPr lang="en-GB" sz="1100" b="1" baseline="0">
              <a:latin typeface="Arial" panose="020B0604020202020204" pitchFamily="34" charset="0"/>
              <a:cs typeface="Arial" panose="020B0604020202020204" pitchFamily="34" charset="0"/>
            </a:rPr>
            <a:t>3. </a:t>
          </a:r>
          <a:r>
            <a:rPr lang="en-GB" sz="1100" b="0" baseline="0">
              <a:latin typeface="Arial" panose="020B0604020202020204" pitchFamily="34" charset="0"/>
              <a:cs typeface="Arial" panose="020B0604020202020204" pitchFamily="34" charset="0"/>
            </a:rPr>
            <a:t>Before entering any data in the entry sheets, v</a:t>
          </a:r>
          <a:r>
            <a:rPr lang="en-GB" sz="1100" baseline="0">
              <a:latin typeface="Arial" panose="020B0604020202020204" pitchFamily="34" charset="0"/>
              <a:cs typeface="Arial" panose="020B0604020202020204" pitchFamily="34" charset="0"/>
            </a:rPr>
            <a:t>iew the </a:t>
          </a:r>
          <a:r>
            <a:rPr lang="en-GB" sz="1100" i="1" baseline="0">
              <a:latin typeface="Arial" panose="020B0604020202020204" pitchFamily="34" charset="0"/>
              <a:cs typeface="Arial" panose="020B0604020202020204" pitchFamily="34" charset="0"/>
            </a:rPr>
            <a:t>Summary</a:t>
          </a:r>
          <a:r>
            <a:rPr lang="en-GB" sz="1100" baseline="0">
              <a:latin typeface="Arial" panose="020B0604020202020204" pitchFamily="34" charset="0"/>
              <a:cs typeface="Arial" panose="020B0604020202020204" pitchFamily="34" charset="0"/>
            </a:rPr>
            <a:t> sheet. </a:t>
          </a:r>
          <a:br>
            <a:rPr lang="en-GB" sz="1100"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3a</a:t>
          </a:r>
          <a:r>
            <a:rPr lang="en-GB" sz="1100" baseline="0">
              <a:latin typeface="Arial" panose="020B0604020202020204" pitchFamily="34" charset="0"/>
              <a:cs typeface="Arial" panose="020B0604020202020204" pitchFamily="34" charset="0"/>
            </a:rPr>
            <a:t> Please read and understand the statement in the red-bordered box at the top about Junior and Senior shooters.</a:t>
          </a:r>
          <a:br>
            <a:rPr lang="en-GB" sz="1100"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3b</a:t>
          </a:r>
          <a:r>
            <a:rPr lang="en-GB" sz="1100" baseline="0">
              <a:latin typeface="Arial" panose="020B0604020202020204" pitchFamily="34" charset="0"/>
              <a:cs typeface="Arial" panose="020B0604020202020204" pitchFamily="34" charset="0"/>
            </a:rPr>
            <a:t> At the top, it shows the entry fee cost for each type of competition, followed by empty tables for each separate competition we run in the season concerned. The entry counts and the fees to be paid will be filled in automatically as you enter data into the competition entry sheets. You cannot change anything on this sheet yourself </a:t>
          </a:r>
          <a:r>
            <a:rPr lang="en-GB" sz="1100" baseline="0">
              <a:solidFill>
                <a:schemeClr val="dk1"/>
              </a:solidFill>
              <a:effectLst/>
              <a:latin typeface="Arial" panose="020B0604020202020204" pitchFamily="34" charset="0"/>
              <a:ea typeface="+mn-ea"/>
              <a:cs typeface="Arial" panose="020B0604020202020204" pitchFamily="34" charset="0"/>
            </a:rPr>
            <a:t>as it's for information and reference only.</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3c</a:t>
          </a:r>
          <a:r>
            <a:rPr lang="en-GB" sz="1100" baseline="0">
              <a:solidFill>
                <a:schemeClr val="dk1"/>
              </a:solidFill>
              <a:effectLst/>
              <a:latin typeface="Arial" panose="020B0604020202020204" pitchFamily="34" charset="0"/>
              <a:ea typeface="+mn-ea"/>
              <a:cs typeface="Arial" panose="020B0604020202020204" pitchFamily="34" charset="0"/>
            </a:rPr>
            <a:t> </a:t>
          </a:r>
          <a:r>
            <a:rPr lang="en-GB" sz="1100" baseline="0">
              <a:latin typeface="Arial" panose="020B0604020202020204" pitchFamily="34" charset="0"/>
              <a:cs typeface="Arial" panose="020B0604020202020204" pitchFamily="34" charset="0"/>
            </a:rPr>
            <a:t>Each competition name on this sheet is a link - click on one (or if on a tablet/phone, touch it and take 'Open Link') and you will be shown the entry sheet for it. Conversely, the entry sheets all have a </a:t>
          </a:r>
          <a:r>
            <a:rPr lang="en-GB" sz="1100" i="1" baseline="0">
              <a:latin typeface="Arial" panose="020B0604020202020204" pitchFamily="34" charset="0"/>
              <a:cs typeface="Arial" panose="020B0604020202020204" pitchFamily="34" charset="0"/>
            </a:rPr>
            <a:t>'Go to Summary sheet</a:t>
          </a:r>
          <a:r>
            <a:rPr lang="en-GB" sz="1100" baseline="0">
              <a:latin typeface="Arial" panose="020B0604020202020204" pitchFamily="34" charset="0"/>
              <a:cs typeface="Arial" panose="020B0604020202020204" pitchFamily="34" charset="0"/>
            </a:rPr>
            <a:t>' link at the top to return to that sheet when it's clicked on or touched. Any sheet may, of course, be viewed by clicking/touching its sheet tab as normal: those links are just shortcuts.</a:t>
          </a:r>
        </a:p>
        <a:p>
          <a:pPr marL="0" marR="0" lvl="0" indent="0" defTabSz="914400" eaLnBrk="1" fontAlgn="auto" latinLnBrk="0" hangingPunct="1">
            <a:lnSpc>
              <a:spcPts val="1500"/>
            </a:lnSpc>
            <a:spcBef>
              <a:spcPts val="0"/>
            </a:spcBef>
            <a:spcAft>
              <a:spcPts val="1000"/>
            </a:spcAft>
            <a:buClrTx/>
            <a:buSzTx/>
            <a:buFontTx/>
            <a:buNone/>
            <a:tabLst/>
            <a:defRPr/>
          </a:pPr>
          <a:r>
            <a:rPr lang="en-GB" sz="1100" b="1" baseline="0">
              <a:latin typeface="Arial" panose="020B0604020202020204" pitchFamily="34" charset="0"/>
              <a:cs typeface="Arial" panose="020B0604020202020204" pitchFamily="34" charset="0"/>
            </a:rPr>
            <a:t>4. Entering data on each entry sheet</a:t>
          </a:r>
          <a:br>
            <a:rPr lang="en-GB" sz="1100" b="1"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4a </a:t>
          </a:r>
          <a:r>
            <a:rPr lang="en-GB" sz="1100" baseline="0">
              <a:solidFill>
                <a:schemeClr val="dk1"/>
              </a:solidFill>
              <a:effectLst/>
              <a:latin typeface="Arial" panose="020B0604020202020204" pitchFamily="34" charset="0"/>
              <a:ea typeface="+mn-ea"/>
              <a:cs typeface="Arial" panose="020B0604020202020204" pitchFamily="34" charset="0"/>
            </a:rPr>
            <a:t>Take note of the Comments that are revealed on rolling the mouse over each column heading, or, if on a tablet or phone, touch 'Review' at the top and select 'Show Comments' - all the comments on the sheet will be shown in a panel to one side of the screen.</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4b</a:t>
          </a:r>
          <a:r>
            <a:rPr lang="en-GB" sz="1100" baseline="0">
              <a:solidFill>
                <a:schemeClr val="dk1"/>
              </a:solidFill>
              <a:effectLst/>
              <a:latin typeface="Arial" panose="020B0604020202020204" pitchFamily="34" charset="0"/>
              <a:ea typeface="+mn-ea"/>
              <a:cs typeface="Arial" panose="020B0604020202020204" pitchFamily="34" charset="0"/>
            </a:rPr>
            <a:t> </a:t>
          </a:r>
          <a:r>
            <a:rPr lang="en-GB" sz="1100" b="1" baseline="0">
              <a:solidFill>
                <a:schemeClr val="dk1"/>
              </a:solidFill>
              <a:effectLst/>
              <a:latin typeface="Arial" panose="020B0604020202020204" pitchFamily="34" charset="0"/>
              <a:ea typeface="+mn-ea"/>
              <a:cs typeface="Arial" panose="020B0604020202020204" pitchFamily="34" charset="0"/>
            </a:rPr>
            <a:t>Note that the definitive conditions of shooting for each competition are given in the </a:t>
          </a:r>
          <a:r>
            <a:rPr lang="en-GB" sz="1100" b="1" i="1" baseline="0">
              <a:solidFill>
                <a:schemeClr val="dk1"/>
              </a:solidFill>
              <a:effectLst/>
              <a:latin typeface="Arial" panose="020B0604020202020204" pitchFamily="34" charset="0"/>
              <a:ea typeface="+mn-ea"/>
              <a:cs typeface="Arial" panose="020B0604020202020204" pitchFamily="34" charset="0"/>
            </a:rPr>
            <a:t>Conditions</a:t>
          </a:r>
          <a:r>
            <a:rPr lang="en-GB" sz="1100" b="1" baseline="0">
              <a:solidFill>
                <a:schemeClr val="dk1"/>
              </a:solidFill>
              <a:effectLst/>
              <a:latin typeface="Arial" panose="020B0604020202020204" pitchFamily="34" charset="0"/>
              <a:ea typeface="+mn-ea"/>
              <a:cs typeface="Arial" panose="020B0604020202020204" pitchFamily="34" charset="0"/>
            </a:rPr>
            <a:t> sheet and you should refer to that if you have any doubts about what is involved with any competition. Most importantly they give the averages required, the courses of fire and the targets to be used.</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4c</a:t>
          </a:r>
          <a:r>
            <a:rPr lang="en-GB" sz="1100" baseline="0">
              <a:solidFill>
                <a:schemeClr val="dk1"/>
              </a:solidFill>
              <a:effectLst/>
              <a:latin typeface="Arial" panose="020B0604020202020204" pitchFamily="34" charset="0"/>
              <a:ea typeface="+mn-ea"/>
              <a:cs typeface="Arial" panose="020B0604020202020204" pitchFamily="34" charset="0"/>
            </a:rPr>
            <a:t> Please enter your entrants' names in the form 'J. Bloggs', with a 'dot space' after each initial. If two or more individuals cannot be distinguished by their initials, give each with their forename instead and add a '#' character at the end of the surname. That will tell our import routines to accept the forename and not to reduce it to an initial as it does for all other entrants given with forename and surname (which happens a lot despite the request in the first sentence of this paragraph). Names given entirely in upper or lower case will be converted to 'proper' case (look it up!). </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4d </a:t>
          </a:r>
          <a:r>
            <a:rPr lang="en-GB" sz="1100" b="1" i="1" baseline="0">
              <a:solidFill>
                <a:schemeClr val="dk1"/>
              </a:solidFill>
              <a:effectLst/>
              <a:latin typeface="Arial" panose="020B0604020202020204" pitchFamily="34" charset="0"/>
              <a:ea typeface="+mn-ea"/>
              <a:cs typeface="Arial" panose="020B0604020202020204" pitchFamily="34" charset="0"/>
            </a:rPr>
            <a:t>If you have more entrants than there is space for in any competition then get in touch immediately at cntsacomps2@gmail.com to request a new file with extra rows.</a:t>
          </a:r>
          <a:br>
            <a:rPr lang="en-GB" sz="1100" b="1"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4e </a:t>
          </a:r>
          <a:r>
            <a:rPr lang="en-GB" sz="1100" baseline="0">
              <a:latin typeface="Arial" panose="020B0604020202020204" pitchFamily="34" charset="0"/>
              <a:cs typeface="Arial" panose="020B0604020202020204" pitchFamily="34" charset="0"/>
            </a:rPr>
            <a:t>Each competition entry sheet performs validation tests as data is entered. Warnings will be given about mismatched numbers of names and averages, incorrect Junior or Senior codes, the number of team letters must be a multiple of three, averages must be within range, etc. Error messages </a:t>
          </a:r>
          <a:r>
            <a:rPr lang="en-GB" sz="1100" baseline="0">
              <a:solidFill>
                <a:schemeClr val="dk1"/>
              </a:solidFill>
              <a:effectLst/>
              <a:latin typeface="Arial" panose="020B0604020202020204" pitchFamily="34" charset="0"/>
              <a:ea typeface="+mn-ea"/>
              <a:cs typeface="Arial" panose="020B0604020202020204" pitchFamily="34" charset="0"/>
            </a:rPr>
            <a:t>will</a:t>
          </a:r>
          <a:r>
            <a:rPr lang="en-GB" sz="1200" baseline="0">
              <a:solidFill>
                <a:schemeClr val="dk1"/>
              </a:solidFill>
              <a:effectLst/>
              <a:latin typeface="Arial" panose="020B0604020202020204" pitchFamily="34" charset="0"/>
              <a:ea typeface="+mn-ea"/>
              <a:cs typeface="Arial" panose="020B0604020202020204" pitchFamily="34" charset="0"/>
            </a:rPr>
            <a:t> </a:t>
          </a:r>
          <a:r>
            <a:rPr lang="en-GB" sz="1100" baseline="0">
              <a:latin typeface="Arial" panose="020B0604020202020204" pitchFamily="34" charset="0"/>
              <a:cs typeface="Arial" panose="020B0604020202020204" pitchFamily="34" charset="0"/>
            </a:rPr>
            <a:t>be given </a:t>
          </a:r>
          <a:r>
            <a:rPr lang="en-GB" sz="1100" baseline="0">
              <a:solidFill>
                <a:schemeClr val="dk1"/>
              </a:solidFill>
              <a:effectLst/>
              <a:latin typeface="Arial" panose="020B0604020202020204" pitchFamily="34" charset="0"/>
              <a:ea typeface="+mn-ea"/>
              <a:cs typeface="Arial" panose="020B0604020202020204" pitchFamily="34" charset="0"/>
            </a:rPr>
            <a:t>either</a:t>
          </a:r>
          <a:r>
            <a:rPr lang="en-GB" sz="1200" baseline="0">
              <a:solidFill>
                <a:schemeClr val="dk1"/>
              </a:solidFill>
              <a:effectLst/>
              <a:latin typeface="Arial" panose="020B0604020202020204" pitchFamily="34" charset="0"/>
              <a:ea typeface="+mn-ea"/>
              <a:cs typeface="Arial" panose="020B0604020202020204" pitchFamily="34" charset="0"/>
            </a:rPr>
            <a:t> </a:t>
          </a:r>
          <a:r>
            <a:rPr lang="en-GB" sz="1100" baseline="0">
              <a:latin typeface="Arial" panose="020B0604020202020204" pitchFamily="34" charset="0"/>
              <a:cs typeface="Arial" panose="020B0604020202020204" pitchFamily="34" charset="0"/>
            </a:rPr>
            <a:t>in red below the table along with a warning at the top or in a pop-up message box. Errors below the table will show temporarily until you finish filling in an entrant's details (e.g. after inputting a name and before you give the average or before you have fully given all three members of a team).</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4f</a:t>
          </a:r>
          <a:r>
            <a:rPr lang="en-GB" sz="1100" baseline="0">
              <a:solidFill>
                <a:schemeClr val="dk1"/>
              </a:solidFill>
              <a:effectLst/>
              <a:latin typeface="Arial" panose="020B0604020202020204" pitchFamily="34" charset="0"/>
              <a:ea typeface="+mn-ea"/>
              <a:cs typeface="Arial" panose="020B0604020202020204" pitchFamily="34" charset="0"/>
            </a:rPr>
            <a:t> If you return to the </a:t>
          </a:r>
          <a:r>
            <a:rPr lang="en-GB" sz="1100" i="1" baseline="0">
              <a:solidFill>
                <a:schemeClr val="dk1"/>
              </a:solidFill>
              <a:effectLst/>
              <a:latin typeface="Arial" panose="020B0604020202020204" pitchFamily="34" charset="0"/>
              <a:ea typeface="+mn-ea"/>
              <a:cs typeface="Arial" panose="020B0604020202020204" pitchFamily="34" charset="0"/>
            </a:rPr>
            <a:t>Summary</a:t>
          </a:r>
          <a:r>
            <a:rPr lang="en-GB" sz="1100" baseline="0">
              <a:solidFill>
                <a:schemeClr val="dk1"/>
              </a:solidFill>
              <a:effectLst/>
              <a:latin typeface="Arial" panose="020B0604020202020204" pitchFamily="34" charset="0"/>
              <a:ea typeface="+mn-ea"/>
              <a:cs typeface="Arial" panose="020B0604020202020204" pitchFamily="34" charset="0"/>
            </a:rPr>
            <a:t> sheet before correcting an error, there will be a red message there saying that errors exist on any entry sheets with errors.</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4g</a:t>
          </a:r>
          <a:r>
            <a:rPr lang="en-GB" sz="1100" baseline="0">
              <a:solidFill>
                <a:schemeClr val="dk1"/>
              </a:solidFill>
              <a:effectLst/>
              <a:latin typeface="Arial" panose="020B0604020202020204" pitchFamily="34" charset="0"/>
              <a:ea typeface="+mn-ea"/>
              <a:cs typeface="Arial" panose="020B0604020202020204" pitchFamily="34" charset="0"/>
            </a:rPr>
            <a:t> Entrants to to the Junior and Senior competitions must have an 'x' in the 'Open Individual' column (where given) </a:t>
          </a:r>
          <a:r>
            <a:rPr lang="en-GB" sz="1100" i="1" baseline="0">
              <a:solidFill>
                <a:schemeClr val="dk1"/>
              </a:solidFill>
              <a:effectLst/>
              <a:latin typeface="Arial" panose="020B0604020202020204" pitchFamily="34" charset="0"/>
              <a:ea typeface="+mn-ea"/>
              <a:cs typeface="Arial" panose="020B0604020202020204" pitchFamily="34" charset="0"/>
            </a:rPr>
            <a:t>as well as </a:t>
          </a:r>
          <a:r>
            <a:rPr lang="en-GB" sz="1100" baseline="0">
              <a:solidFill>
                <a:schemeClr val="dk1"/>
              </a:solidFill>
              <a:effectLst/>
              <a:latin typeface="Arial" panose="020B0604020202020204" pitchFamily="34" charset="0"/>
              <a:ea typeface="+mn-ea"/>
              <a:cs typeface="Arial" panose="020B0604020202020204" pitchFamily="34" charset="0"/>
            </a:rPr>
            <a:t>a 'J' or 'S' in the 'J/S' column. The age restriction for Juniors is under 21 and for Seniors it is 60 or over on the closing date for the competiton. </a:t>
          </a:r>
          <a:r>
            <a:rPr lang="en-GB" sz="900" b="1" baseline="0">
              <a:solidFill>
                <a:schemeClr val="dk1"/>
              </a:solidFill>
              <a:effectLst/>
              <a:latin typeface="Arial" panose="020B0604020202020204" pitchFamily="34" charset="0"/>
              <a:ea typeface="+mn-ea"/>
              <a:cs typeface="Arial" panose="020B0604020202020204" pitchFamily="34" charset="0"/>
            </a:rPr>
            <a:t>PLEASE ENSURE THAT ALL SUCH ENTRANTS ARE ACTUALLY QUALIFIED BY AGE TO DO SO</a:t>
          </a:r>
          <a:r>
            <a:rPr lang="en-GB" sz="1100" b="1" baseline="0">
              <a:solidFill>
                <a:schemeClr val="dk1"/>
              </a:solidFill>
              <a:effectLst/>
              <a:latin typeface="Arial" panose="020B0604020202020204" pitchFamily="34" charset="0"/>
              <a:ea typeface="+mn-ea"/>
              <a:cs typeface="Arial" panose="020B0604020202020204" pitchFamily="34" charset="0"/>
            </a:rPr>
            <a:t>. </a:t>
          </a:r>
          <a:r>
            <a:rPr lang="en-GB" sz="1100" b="0" baseline="0">
              <a:solidFill>
                <a:schemeClr val="dk1"/>
              </a:solidFill>
              <a:effectLst/>
              <a:latin typeface="Arial" panose="020B0604020202020204" pitchFamily="34" charset="0"/>
              <a:ea typeface="+mn-ea"/>
              <a:cs typeface="Arial" panose="020B0604020202020204" pitchFamily="34" charset="0"/>
            </a:rPr>
            <a:t>Please see the red-bordered box at the top of the </a:t>
          </a:r>
          <a:r>
            <a:rPr lang="en-GB" sz="1100" b="0" i="1" baseline="0">
              <a:solidFill>
                <a:schemeClr val="dk1"/>
              </a:solidFill>
              <a:effectLst/>
              <a:latin typeface="Arial" panose="020B0604020202020204" pitchFamily="34" charset="0"/>
              <a:ea typeface="+mn-ea"/>
              <a:cs typeface="Arial" panose="020B0604020202020204" pitchFamily="34" charset="0"/>
            </a:rPr>
            <a:t>Summary</a:t>
          </a:r>
          <a:r>
            <a:rPr lang="en-GB" sz="1100" b="0" baseline="0">
              <a:solidFill>
                <a:schemeClr val="dk1"/>
              </a:solidFill>
              <a:effectLst/>
              <a:latin typeface="Arial" panose="020B0604020202020204" pitchFamily="34" charset="0"/>
              <a:ea typeface="+mn-ea"/>
              <a:cs typeface="Arial" panose="020B0604020202020204" pitchFamily="34" charset="0"/>
            </a:rPr>
            <a:t> sheet.</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4h</a:t>
          </a:r>
          <a:r>
            <a:rPr lang="en-GB" sz="1100" baseline="0">
              <a:solidFill>
                <a:schemeClr val="dk1"/>
              </a:solidFill>
              <a:effectLst/>
              <a:latin typeface="Arial" panose="020B0604020202020204" pitchFamily="34" charset="0"/>
              <a:ea typeface="+mn-ea"/>
              <a:cs typeface="Arial" panose="020B0604020202020204" pitchFamily="34" charset="0"/>
            </a:rPr>
            <a:t> All alphabetic codes may be entered in upper or lower case. </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4i</a:t>
          </a:r>
          <a:r>
            <a:rPr lang="en-GB" sz="1100" baseline="0">
              <a:solidFill>
                <a:schemeClr val="dk1"/>
              </a:solidFill>
              <a:effectLst/>
              <a:latin typeface="Arial" panose="020B0604020202020204" pitchFamily="34" charset="0"/>
              <a:ea typeface="+mn-ea"/>
              <a:cs typeface="Arial" panose="020B0604020202020204" pitchFamily="34" charset="0"/>
            </a:rPr>
            <a:t> Note regarding entrants to the 10m Air Rifle competitions: If an entrant is permitted to shoot sitting (whether in a wheelchair or not) they should enter the standard 10m competition and shoot using a spring rest stand. They should </a:t>
          </a:r>
          <a:r>
            <a:rPr lang="en-GB" sz="1100" i="1" baseline="0">
              <a:solidFill>
                <a:schemeClr val="dk1"/>
              </a:solidFill>
              <a:effectLst/>
              <a:latin typeface="Arial" panose="020B0604020202020204" pitchFamily="34" charset="0"/>
              <a:ea typeface="+mn-ea"/>
              <a:cs typeface="Arial" panose="020B0604020202020204" pitchFamily="34" charset="0"/>
            </a:rPr>
            <a:t>not</a:t>
          </a:r>
          <a:r>
            <a:rPr lang="en-GB" sz="1100" baseline="0">
              <a:solidFill>
                <a:schemeClr val="dk1"/>
              </a:solidFill>
              <a:effectLst/>
              <a:latin typeface="Arial" panose="020B0604020202020204" pitchFamily="34" charset="0"/>
              <a:ea typeface="+mn-ea"/>
              <a:cs typeface="Arial" panose="020B0604020202020204" pitchFamily="34" charset="0"/>
            </a:rPr>
            <a:t> enter the Supported Rest version as that is only for standing shooting using fixed rests as per the ISSF Rules for that competition. Anyone with an NSRA dispensation certificate allowing them to shoot sitting in a standing competition may do so, but must enter the standard AR competition.</a:t>
          </a:r>
        </a:p>
        <a:p>
          <a:pPr marL="0" marR="0" lvl="0" indent="0" defTabSz="914400" eaLnBrk="1" fontAlgn="auto" latinLnBrk="0" hangingPunct="1">
            <a:lnSpc>
              <a:spcPts val="1500"/>
            </a:lnSpc>
            <a:spcBef>
              <a:spcPts val="0"/>
            </a:spcBef>
            <a:spcAft>
              <a:spcPts val="1000"/>
            </a:spcAft>
            <a:buClrTx/>
            <a:buSzTx/>
            <a:buFontTx/>
            <a:buNone/>
            <a:tabLst/>
            <a:defRPr/>
          </a:pPr>
          <a:r>
            <a:rPr lang="en-GB" sz="1100" b="1" baseline="0">
              <a:solidFill>
                <a:schemeClr val="dk1"/>
              </a:solidFill>
              <a:effectLst/>
              <a:latin typeface="Arial" panose="020B0604020202020204" pitchFamily="34" charset="0"/>
              <a:ea typeface="+mn-ea"/>
              <a:cs typeface="Arial" panose="020B0604020202020204" pitchFamily="34" charset="0"/>
            </a:rPr>
            <a:t>5. </a:t>
          </a:r>
          <a:r>
            <a:rPr lang="en-GB" sz="1100" baseline="0">
              <a:solidFill>
                <a:schemeClr val="dk1"/>
              </a:solidFill>
              <a:effectLst/>
              <a:latin typeface="Arial" panose="020B0604020202020204" pitchFamily="34" charset="0"/>
              <a:ea typeface="+mn-ea"/>
              <a:cs typeface="Arial" panose="020B0604020202020204" pitchFamily="34" charset="0"/>
            </a:rPr>
            <a:t>The fee summary tables at the bottom of the </a:t>
          </a:r>
          <a:r>
            <a:rPr lang="en-GB" sz="1100" i="1" baseline="0">
              <a:solidFill>
                <a:schemeClr val="dk1"/>
              </a:solidFill>
              <a:effectLst/>
              <a:latin typeface="Arial" panose="020B0604020202020204" pitchFamily="34" charset="0"/>
              <a:ea typeface="+mn-ea"/>
              <a:cs typeface="Arial" panose="020B0604020202020204" pitchFamily="34" charset="0"/>
            </a:rPr>
            <a:t>Submission</a:t>
          </a:r>
          <a:r>
            <a:rPr lang="en-GB" sz="1100" baseline="0">
              <a:solidFill>
                <a:schemeClr val="dk1"/>
              </a:solidFill>
              <a:effectLst/>
              <a:latin typeface="Arial" panose="020B0604020202020204" pitchFamily="34" charset="0"/>
              <a:ea typeface="+mn-ea"/>
              <a:cs typeface="Arial" panose="020B0604020202020204" pitchFamily="34" charset="0"/>
            </a:rPr>
            <a:t> and </a:t>
          </a:r>
          <a:r>
            <a:rPr lang="en-GB" sz="1100" i="1" baseline="0">
              <a:solidFill>
                <a:schemeClr val="dk1"/>
              </a:solidFill>
              <a:effectLst/>
              <a:latin typeface="Arial" panose="020B0604020202020204" pitchFamily="34" charset="0"/>
              <a:ea typeface="+mn-ea"/>
              <a:cs typeface="Arial" panose="020B0604020202020204" pitchFamily="34" charset="0"/>
            </a:rPr>
            <a:t>Summary</a:t>
          </a:r>
          <a:r>
            <a:rPr lang="en-GB" sz="1100" baseline="0">
              <a:solidFill>
                <a:schemeClr val="dk1"/>
              </a:solidFill>
              <a:effectLst/>
              <a:latin typeface="Arial" panose="020B0604020202020204" pitchFamily="34" charset="0"/>
              <a:ea typeface="+mn-ea"/>
              <a:cs typeface="Arial" panose="020B0604020202020204" pitchFamily="34" charset="0"/>
            </a:rPr>
            <a:t> sheets will be filled in automatically from the data you enter in the competition entry sheets. They are for information only and the sheets are 'protected' so you cannot (and don't need to) update them yourself.</a:t>
          </a:r>
        </a:p>
        <a:p>
          <a:pPr>
            <a:lnSpc>
              <a:spcPts val="1500"/>
            </a:lnSpc>
            <a:spcBef>
              <a:spcPts val="0"/>
            </a:spcBef>
            <a:spcAft>
              <a:spcPts val="1000"/>
            </a:spcAft>
          </a:pPr>
          <a:r>
            <a:rPr lang="en-GB" sz="1100" b="1" baseline="0">
              <a:solidFill>
                <a:schemeClr val="dk1"/>
              </a:solidFill>
              <a:effectLst/>
              <a:latin typeface="Arial" panose="020B0604020202020204" pitchFamily="34" charset="0"/>
              <a:ea typeface="+mn-ea"/>
              <a:cs typeface="Arial" panose="020B0604020202020204" pitchFamily="34" charset="0"/>
            </a:rPr>
            <a:t>6. Submission</a:t>
          </a:r>
          <a:br>
            <a:rPr lang="en-GB" sz="1100" b="1"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6a</a:t>
          </a:r>
          <a:r>
            <a:rPr lang="en-GB" sz="1100" baseline="0">
              <a:solidFill>
                <a:schemeClr val="dk1"/>
              </a:solidFill>
              <a:effectLst/>
              <a:latin typeface="Arial" panose="020B0604020202020204" pitchFamily="34" charset="0"/>
              <a:ea typeface="+mn-ea"/>
              <a:cs typeface="Arial" panose="020B0604020202020204" pitchFamily="34" charset="0"/>
            </a:rPr>
            <a:t> After you have completed all your entries and all the contact etc information in the </a:t>
          </a:r>
          <a:r>
            <a:rPr lang="en-GB" sz="1100" i="1" baseline="0">
              <a:solidFill>
                <a:schemeClr val="dk1"/>
              </a:solidFill>
              <a:effectLst/>
              <a:latin typeface="Arial" panose="020B0604020202020204" pitchFamily="34" charset="0"/>
              <a:ea typeface="+mn-ea"/>
              <a:cs typeface="Arial" panose="020B0604020202020204" pitchFamily="34" charset="0"/>
            </a:rPr>
            <a:t>Submission</a:t>
          </a:r>
          <a:r>
            <a:rPr lang="en-GB" sz="1100" baseline="0">
              <a:solidFill>
                <a:schemeClr val="dk1"/>
              </a:solidFill>
              <a:effectLst/>
              <a:latin typeface="Arial" panose="020B0604020202020204" pitchFamily="34" charset="0"/>
              <a:ea typeface="+mn-ea"/>
              <a:cs typeface="Arial" panose="020B0604020202020204" pitchFamily="34" charset="0"/>
            </a:rPr>
            <a:t> sheet has been entered, ensure that you have saved the file with the name of your club (and it's not still just called 'Entry Form....' as it was delivered to you - see </a:t>
          </a:r>
          <a:r>
            <a:rPr lang="en-GB" sz="1100" b="1" baseline="0">
              <a:solidFill>
                <a:schemeClr val="dk1"/>
              </a:solidFill>
              <a:effectLst/>
              <a:latin typeface="Arial" panose="020B0604020202020204" pitchFamily="34" charset="0"/>
              <a:ea typeface="+mn-ea"/>
              <a:cs typeface="Arial" panose="020B0604020202020204" pitchFamily="34" charset="0"/>
            </a:rPr>
            <a:t>Para 2e </a:t>
          </a:r>
          <a:r>
            <a:rPr lang="en-GB" sz="1100" baseline="0">
              <a:solidFill>
                <a:schemeClr val="dk1"/>
              </a:solidFill>
              <a:effectLst/>
              <a:latin typeface="Arial" panose="020B0604020202020204" pitchFamily="34" charset="0"/>
              <a:ea typeface="+mn-ea"/>
              <a:cs typeface="Arial" panose="020B0604020202020204" pitchFamily="34" charset="0"/>
            </a:rPr>
            <a:t>above). You might want to (re)set the date in the </a:t>
          </a:r>
          <a:r>
            <a:rPr lang="en-GB" sz="1100" i="1" baseline="0">
              <a:solidFill>
                <a:schemeClr val="dk1"/>
              </a:solidFill>
              <a:effectLst/>
              <a:latin typeface="Arial" panose="020B0604020202020204" pitchFamily="34" charset="0"/>
              <a:ea typeface="+mn-ea"/>
              <a:cs typeface="Arial" panose="020B0604020202020204" pitchFamily="34" charset="0"/>
            </a:rPr>
            <a:t>Submission</a:t>
          </a:r>
          <a:r>
            <a:rPr lang="en-GB" sz="1100" baseline="0">
              <a:solidFill>
                <a:schemeClr val="dk1"/>
              </a:solidFill>
              <a:effectLst/>
              <a:latin typeface="Arial" panose="020B0604020202020204" pitchFamily="34" charset="0"/>
              <a:ea typeface="+mn-ea"/>
              <a:cs typeface="Arial" panose="020B0604020202020204" pitchFamily="34" charset="0"/>
            </a:rPr>
            <a:t> sheet to the current date at this point. </a:t>
          </a:r>
          <a:r>
            <a:rPr lang="en-GB" sz="1100" u="sng" baseline="0">
              <a:solidFill>
                <a:schemeClr val="dk1"/>
              </a:solidFill>
              <a:effectLst/>
              <a:latin typeface="Arial" panose="020B0604020202020204" pitchFamily="34" charset="0"/>
              <a:ea typeface="+mn-ea"/>
              <a:cs typeface="Arial" panose="020B0604020202020204" pitchFamily="34" charset="0"/>
            </a:rPr>
            <a:t>Check that there are no red error messages showing in the </a:t>
          </a:r>
          <a:r>
            <a:rPr lang="en-GB" sz="1100" i="1" u="sng" baseline="0">
              <a:solidFill>
                <a:schemeClr val="dk1"/>
              </a:solidFill>
              <a:effectLst/>
              <a:latin typeface="Arial" panose="020B0604020202020204" pitchFamily="34" charset="0"/>
              <a:ea typeface="+mn-ea"/>
              <a:cs typeface="Arial" panose="020B0604020202020204" pitchFamily="34" charset="0"/>
            </a:rPr>
            <a:t>Summary</a:t>
          </a:r>
          <a:r>
            <a:rPr lang="en-GB" sz="1100" u="sng" baseline="0">
              <a:solidFill>
                <a:schemeClr val="dk1"/>
              </a:solidFill>
              <a:effectLst/>
              <a:latin typeface="Arial" panose="020B0604020202020204" pitchFamily="34" charset="0"/>
              <a:ea typeface="+mn-ea"/>
              <a:cs typeface="Arial" panose="020B0604020202020204" pitchFamily="34" charset="0"/>
            </a:rPr>
            <a:t> sheet</a:t>
          </a:r>
          <a:r>
            <a:rPr lang="en-GB" sz="1100" u="none" baseline="0">
              <a:solidFill>
                <a:schemeClr val="dk1"/>
              </a:solidFill>
              <a:effectLst/>
              <a:latin typeface="Arial" panose="020B0604020202020204" pitchFamily="34" charset="0"/>
              <a:ea typeface="+mn-ea"/>
              <a:cs typeface="Arial" panose="020B0604020202020204" pitchFamily="34" charset="0"/>
            </a:rPr>
            <a:t> </a:t>
          </a:r>
          <a:r>
            <a:rPr lang="en-GB" sz="1100" baseline="0">
              <a:solidFill>
                <a:schemeClr val="dk1"/>
              </a:solidFill>
              <a:effectLst/>
              <a:latin typeface="Arial" panose="020B0604020202020204" pitchFamily="34" charset="0"/>
              <a:ea typeface="+mn-ea"/>
              <a:cs typeface="Arial" panose="020B0604020202020204" pitchFamily="34" charset="0"/>
            </a:rPr>
            <a:t>- if there are, please fix them first!</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6b</a:t>
          </a:r>
          <a:r>
            <a:rPr lang="en-GB" sz="1100" b="0" baseline="0">
              <a:solidFill>
                <a:schemeClr val="dk1"/>
              </a:solidFill>
              <a:effectLst/>
              <a:latin typeface="Arial" panose="020B0604020202020204" pitchFamily="34" charset="0"/>
              <a:ea typeface="+mn-ea"/>
              <a:cs typeface="Arial" panose="020B0604020202020204" pitchFamily="34" charset="0"/>
            </a:rPr>
            <a:t> </a:t>
          </a:r>
          <a:r>
            <a:rPr lang="en-GB" sz="1100" baseline="0">
              <a:solidFill>
                <a:schemeClr val="dk1"/>
              </a:solidFill>
              <a:effectLst/>
              <a:latin typeface="Arial" panose="020B0604020202020204" pitchFamily="34" charset="0"/>
              <a:ea typeface="+mn-ea"/>
              <a:cs typeface="Arial" panose="020B0604020202020204" pitchFamily="34" charset="0"/>
            </a:rPr>
            <a:t>Once you are happy that everything is correct and the file has been saved, then email </a:t>
          </a:r>
          <a:r>
            <a:rPr lang="en-GB" sz="1100" b="0" i="0" baseline="0">
              <a:solidFill>
                <a:schemeClr val="dk1"/>
              </a:solidFill>
              <a:effectLst/>
              <a:latin typeface="Arial" panose="020B0604020202020204" pitchFamily="34" charset="0"/>
              <a:ea typeface="+mn-ea"/>
              <a:cs typeface="Arial" panose="020B0604020202020204" pitchFamily="34" charset="0"/>
            </a:rPr>
            <a:t>it as an attachment to </a:t>
          </a:r>
          <a:r>
            <a:rPr lang="en-GB" sz="1100" b="1" i="0" baseline="0">
              <a:solidFill>
                <a:schemeClr val="dk1"/>
              </a:solidFill>
              <a:effectLst/>
              <a:latin typeface="Arial" panose="020B0604020202020204" pitchFamily="34" charset="0"/>
              <a:ea typeface="+mn-ea"/>
              <a:cs typeface="Arial" panose="020B0604020202020204" pitchFamily="34" charset="0"/>
            </a:rPr>
            <a:t>cntsacomps2@gmail.com </a:t>
          </a:r>
          <a:r>
            <a:rPr lang="en-GB" sz="1100" b="0" i="0" baseline="0">
              <a:solidFill>
                <a:schemeClr val="dk1"/>
              </a:solidFill>
              <a:effectLst/>
              <a:latin typeface="Arial" panose="020B0604020202020204" pitchFamily="34" charset="0"/>
              <a:ea typeface="+mn-ea"/>
              <a:cs typeface="Arial" panose="020B0604020202020204" pitchFamily="34" charset="0"/>
            </a:rPr>
            <a:t>by the closing date given in the </a:t>
          </a:r>
          <a:r>
            <a:rPr lang="en-GB" sz="1100" b="0" i="1" baseline="0">
              <a:solidFill>
                <a:schemeClr val="dk1"/>
              </a:solidFill>
              <a:effectLst/>
              <a:latin typeface="Arial" panose="020B0604020202020204" pitchFamily="34" charset="0"/>
              <a:ea typeface="+mn-ea"/>
              <a:cs typeface="Arial" panose="020B0604020202020204" pitchFamily="34" charset="0"/>
            </a:rPr>
            <a:t>Submission</a:t>
          </a:r>
          <a:r>
            <a:rPr lang="en-GB" sz="1100" b="0" i="0" baseline="0">
              <a:solidFill>
                <a:schemeClr val="dk1"/>
              </a:solidFill>
              <a:effectLst/>
              <a:latin typeface="Arial" panose="020B0604020202020204" pitchFamily="34" charset="0"/>
              <a:ea typeface="+mn-ea"/>
              <a:cs typeface="Arial" panose="020B0604020202020204" pitchFamily="34" charset="0"/>
            </a:rPr>
            <a:t> sheet.</a:t>
          </a:r>
        </a:p>
        <a:p>
          <a:pPr marL="0" marR="0" lvl="0" indent="0" defTabSz="914400" eaLnBrk="1" fontAlgn="auto" latinLnBrk="0" hangingPunct="1">
            <a:lnSpc>
              <a:spcPts val="1500"/>
            </a:lnSpc>
            <a:spcBef>
              <a:spcPts val="0"/>
            </a:spcBef>
            <a:spcAft>
              <a:spcPts val="1000"/>
            </a:spcAft>
            <a:buClrTx/>
            <a:buSzTx/>
            <a:buFontTx/>
            <a:buNone/>
            <a:tabLst/>
            <a:defRPr/>
          </a:pPr>
          <a:r>
            <a:rPr lang="en-GB" sz="1100" b="1" i="0" u="none" strike="noStrike" baseline="0">
              <a:solidFill>
                <a:schemeClr val="dk1"/>
              </a:solidFill>
              <a:effectLst/>
              <a:latin typeface="Arial" panose="020B0604020202020204" pitchFamily="34" charset="0"/>
              <a:ea typeface="+mn-ea"/>
              <a:cs typeface="Arial" panose="020B0604020202020204" pitchFamily="34" charset="0"/>
            </a:rPr>
            <a:t>7.  Payments</a:t>
          </a:r>
          <a:br>
            <a:rPr lang="en-GB" sz="1100" b="1" i="0" u="none" strike="noStrike" baseline="0">
              <a:solidFill>
                <a:schemeClr val="dk1"/>
              </a:solidFill>
              <a:effectLst/>
              <a:latin typeface="Arial" panose="020B0604020202020204" pitchFamily="34" charset="0"/>
              <a:ea typeface="+mn-ea"/>
              <a:cs typeface="Arial" panose="020B0604020202020204" pitchFamily="34" charset="0"/>
            </a:rPr>
          </a:br>
          <a:r>
            <a:rPr lang="en-GB" sz="1100" b="1" i="0" u="none" strike="noStrike" baseline="0">
              <a:solidFill>
                <a:schemeClr val="dk1"/>
              </a:solidFill>
              <a:effectLst/>
              <a:latin typeface="Arial" panose="020B0604020202020204" pitchFamily="34" charset="0"/>
              <a:ea typeface="+mn-ea"/>
              <a:cs typeface="Arial" panose="020B0604020202020204" pitchFamily="34" charset="0"/>
            </a:rPr>
            <a:t>7a</a:t>
          </a:r>
          <a:r>
            <a:rPr lang="en-GB" sz="1100" b="0" i="0" u="none" strike="noStrike" baseline="0">
              <a:solidFill>
                <a:schemeClr val="dk1"/>
              </a:solidFill>
              <a:effectLst/>
              <a:latin typeface="Arial" panose="020B0604020202020204" pitchFamily="34" charset="0"/>
              <a:ea typeface="+mn-ea"/>
              <a:cs typeface="Arial" panose="020B0604020202020204" pitchFamily="34" charset="0"/>
            </a:rPr>
            <a:t> Do not send a cheque or make any other form of payment at this point. All clubs, whether their entries have been sent in by email or post, will be emailed an invoice for the required amount after all entries have been received and any competitions that cannot be run due to insufficient entries have been identified. That might affect your total fees due and this method removes the problems associated with dealing with overpayments as the invoice will take any cancelled competitions that you may have entered into account.</a:t>
          </a:r>
          <a:br>
            <a:rPr lang="en-GB" sz="1100" b="0" i="0" u="none" strike="noStrike" baseline="0">
              <a:solidFill>
                <a:schemeClr val="dk1"/>
              </a:solidFill>
              <a:effectLst/>
              <a:latin typeface="Arial" panose="020B0604020202020204" pitchFamily="34" charset="0"/>
              <a:ea typeface="+mn-ea"/>
              <a:cs typeface="Arial" panose="020B0604020202020204" pitchFamily="34" charset="0"/>
            </a:rPr>
          </a:br>
          <a:r>
            <a:rPr lang="en-GB" sz="1100" b="1" i="0" u="none" strike="noStrike" baseline="0">
              <a:solidFill>
                <a:schemeClr val="dk1"/>
              </a:solidFill>
              <a:effectLst/>
              <a:latin typeface="Arial" panose="020B0604020202020204" pitchFamily="34" charset="0"/>
              <a:ea typeface="+mn-ea"/>
              <a:cs typeface="Arial" panose="020B0604020202020204" pitchFamily="34" charset="0"/>
            </a:rPr>
            <a:t>7b</a:t>
          </a:r>
          <a:r>
            <a:rPr lang="en-GB" sz="1100" b="0" i="0" u="none" strike="noStrike" baseline="0">
              <a:solidFill>
                <a:schemeClr val="dk1"/>
              </a:solidFill>
              <a:effectLst/>
              <a:latin typeface="Arial" panose="020B0604020202020204" pitchFamily="34" charset="0"/>
              <a:ea typeface="+mn-ea"/>
              <a:cs typeface="Arial" panose="020B0604020202020204" pitchFamily="34" charset="0"/>
            </a:rPr>
            <a:t> The Invoice File will be sent to you approximately a week to ten days after the closing date (or later if the entry-taker has a lot of queries to follow up on). </a:t>
          </a:r>
          <a:br>
            <a:rPr lang="en-GB" sz="1100" b="0" i="0" baseline="0">
              <a:solidFill>
                <a:schemeClr val="dk1"/>
              </a:solidFill>
              <a:effectLst/>
              <a:latin typeface="Arial" panose="020B0604020202020204" pitchFamily="34" charset="0"/>
              <a:ea typeface="+mn-ea"/>
              <a:cs typeface="Arial" panose="020B0604020202020204" pitchFamily="34" charset="0"/>
            </a:rPr>
          </a:br>
          <a:r>
            <a:rPr lang="en-GB" sz="1100" b="1" i="0" baseline="0">
              <a:solidFill>
                <a:schemeClr val="dk1"/>
              </a:solidFill>
              <a:effectLst/>
              <a:latin typeface="Arial" panose="020B0604020202020204" pitchFamily="34" charset="0"/>
              <a:ea typeface="+mn-ea"/>
              <a:cs typeface="Arial" panose="020B0604020202020204" pitchFamily="34" charset="0"/>
            </a:rPr>
            <a:t>7c </a:t>
          </a:r>
          <a:r>
            <a:rPr lang="en-GB" sz="1100" b="0" i="0" baseline="0">
              <a:solidFill>
                <a:schemeClr val="dk1"/>
              </a:solidFill>
              <a:effectLst/>
              <a:latin typeface="Arial" panose="020B0604020202020204" pitchFamily="34" charset="0"/>
              <a:ea typeface="+mn-ea"/>
              <a:cs typeface="Arial" panose="020B0604020202020204" pitchFamily="34" charset="0"/>
            </a:rPr>
            <a:t>Your invoice will list all your entrants in all competitions that will be run and it's important for you to check what is entered into our system to ensure all details are correct (eg names spelled correctly, averages are right etc) before the stickers are printed. Please report any anomalies to cntsacomps2@gmail.com as soon as possible. If an update is required then you will be sent another invoice with the new details.</a:t>
          </a:r>
          <a:br>
            <a:rPr lang="en-GB" sz="1100" b="0" i="0" u="none" strike="noStrike" baseline="0">
              <a:solidFill>
                <a:schemeClr val="dk1"/>
              </a:solidFill>
              <a:effectLst/>
              <a:latin typeface="Arial" panose="020B0604020202020204" pitchFamily="34" charset="0"/>
              <a:ea typeface="+mn-ea"/>
              <a:cs typeface="Arial" panose="020B0604020202020204" pitchFamily="34" charset="0"/>
            </a:rPr>
          </a:br>
          <a:r>
            <a:rPr lang="en-GB" sz="1100" b="1" i="0" u="none" strike="noStrike" baseline="0">
              <a:solidFill>
                <a:schemeClr val="dk1"/>
              </a:solidFill>
              <a:effectLst/>
              <a:latin typeface="Arial" panose="020B0604020202020204" pitchFamily="34" charset="0"/>
              <a:ea typeface="+mn-ea"/>
              <a:cs typeface="Arial" panose="020B0604020202020204" pitchFamily="34" charset="0"/>
            </a:rPr>
            <a:t>7d</a:t>
          </a:r>
          <a:r>
            <a:rPr lang="en-GB" sz="1100" b="0" i="0" u="none" strike="noStrike" baseline="0">
              <a:solidFill>
                <a:schemeClr val="dk1"/>
              </a:solidFill>
              <a:effectLst/>
              <a:latin typeface="Arial" panose="020B0604020202020204" pitchFamily="34" charset="0"/>
              <a:ea typeface="+mn-ea"/>
              <a:cs typeface="Arial" panose="020B0604020202020204" pitchFamily="34" charset="0"/>
            </a:rPr>
            <a:t> Full details of how to pay your fees will be included in the invoice. The choice is either by BACS or by cheque.</a:t>
          </a:r>
        </a:p>
        <a:p>
          <a:pPr marL="0" marR="0" lvl="0" indent="0" defTabSz="914400" eaLnBrk="1" fontAlgn="auto" latinLnBrk="0" hangingPunct="1">
            <a:lnSpc>
              <a:spcPts val="1500"/>
            </a:lnSpc>
            <a:spcBef>
              <a:spcPts val="0"/>
            </a:spcBef>
            <a:spcAft>
              <a:spcPts val="1000"/>
            </a:spcAft>
            <a:buClrTx/>
            <a:buSzTx/>
            <a:buFontTx/>
            <a:buNone/>
            <a:tabLst/>
            <a:defRPr/>
          </a:pPr>
          <a:r>
            <a:rPr lang="en-GB" sz="1100" b="1" baseline="0">
              <a:solidFill>
                <a:schemeClr val="dk1"/>
              </a:solidFill>
              <a:effectLst/>
              <a:latin typeface="Arial" panose="020B0604020202020204" pitchFamily="34" charset="0"/>
              <a:ea typeface="+mn-ea"/>
              <a:cs typeface="Arial" panose="020B0604020202020204" pitchFamily="34" charset="0"/>
            </a:rPr>
            <a:t>8</a:t>
          </a:r>
          <a:r>
            <a:rPr lang="en-GB" sz="1100" baseline="0">
              <a:solidFill>
                <a:schemeClr val="dk1"/>
              </a:solidFill>
              <a:effectLst/>
              <a:latin typeface="Arial" panose="020B0604020202020204" pitchFamily="34" charset="0"/>
              <a:ea typeface="+mn-ea"/>
              <a:cs typeface="Arial" panose="020B0604020202020204" pitchFamily="34" charset="0"/>
            </a:rPr>
            <a:t>. </a:t>
          </a:r>
          <a:r>
            <a:rPr lang="en-GB" sz="1100" b="1" baseline="0">
              <a:latin typeface="Arial" panose="020B0604020202020204" pitchFamily="34" charset="0"/>
              <a:cs typeface="Arial" panose="020B0604020202020204" pitchFamily="34" charset="0"/>
            </a:rPr>
            <a:t>Other</a:t>
          </a:r>
          <a:br>
            <a:rPr lang="en-GB" sz="1100" b="1" baseline="0">
              <a:latin typeface="Arial" panose="020B0604020202020204" pitchFamily="34" charset="0"/>
              <a:cs typeface="Arial" panose="020B0604020202020204" pitchFamily="34" charset="0"/>
            </a:rPr>
          </a:br>
          <a:r>
            <a:rPr lang="en-GB" sz="1100" b="1" baseline="0">
              <a:latin typeface="Arial" panose="020B0604020202020204" pitchFamily="34" charset="0"/>
              <a:cs typeface="Arial" panose="020B0604020202020204" pitchFamily="34" charset="0"/>
            </a:rPr>
            <a:t>8a</a:t>
          </a:r>
          <a:r>
            <a:rPr lang="en-GB" sz="1100" baseline="0">
              <a:latin typeface="Arial" panose="020B0604020202020204" pitchFamily="34" charset="0"/>
              <a:cs typeface="Arial" panose="020B0604020202020204" pitchFamily="34" charset="0"/>
            </a:rPr>
            <a:t>  </a:t>
          </a:r>
          <a:r>
            <a:rPr lang="en-GB" sz="1100" baseline="0">
              <a:solidFill>
                <a:schemeClr val="dk1"/>
              </a:solidFill>
              <a:effectLst/>
              <a:latin typeface="Arial" panose="020B0604020202020204" pitchFamily="34" charset="0"/>
              <a:ea typeface="+mn-ea"/>
              <a:cs typeface="Arial" panose="020B0604020202020204" pitchFamily="34" charset="0"/>
            </a:rPr>
            <a:t>More than one person in a club might be responsible for entries, say for different disciplines, and we are able to accept up to nine different entry form files from the same club containing different contact names and addresses. Each such contact will receive a separate invoice and separate sets of target labels relating only to the entries they submitted.</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8b</a:t>
          </a:r>
          <a:r>
            <a:rPr lang="en-GB" sz="1100" baseline="0">
              <a:solidFill>
                <a:schemeClr val="dk1"/>
              </a:solidFill>
              <a:effectLst/>
              <a:latin typeface="Arial" panose="020B0604020202020204" pitchFamily="34" charset="0"/>
              <a:ea typeface="+mn-ea"/>
              <a:cs typeface="Arial" panose="020B0604020202020204" pitchFamily="34" charset="0"/>
            </a:rPr>
            <a:t> You might have club members who decide that they want to enter after you have submitted your entries or you might have other changes to make to the original entries before the closing date. In those cases, just update the original file as required and re-send it. It would be helpful if you gave some details of the changes in your covering email. A further invoice will be sent with the new details.</a:t>
          </a:r>
          <a:br>
            <a:rPr lang="en-GB" sz="1100" baseline="0">
              <a:solidFill>
                <a:schemeClr val="dk1"/>
              </a:solidFill>
              <a:effectLst/>
              <a:latin typeface="Arial" panose="020B0604020202020204" pitchFamily="34" charset="0"/>
              <a:ea typeface="+mn-ea"/>
              <a:cs typeface="Arial" panose="020B0604020202020204" pitchFamily="34" charset="0"/>
            </a:rPr>
          </a:br>
          <a:r>
            <a:rPr lang="en-GB" sz="1100" b="1" baseline="0">
              <a:solidFill>
                <a:schemeClr val="dk1"/>
              </a:solidFill>
              <a:effectLst/>
              <a:latin typeface="Arial" panose="020B0604020202020204" pitchFamily="34" charset="0"/>
              <a:ea typeface="+mn-ea"/>
              <a:cs typeface="Arial" panose="020B0604020202020204" pitchFamily="34" charset="0"/>
            </a:rPr>
            <a:t>8c</a:t>
          </a:r>
          <a:r>
            <a:rPr lang="en-GB" sz="1100" baseline="0">
              <a:solidFill>
                <a:schemeClr val="dk1"/>
              </a:solidFill>
              <a:effectLst/>
              <a:latin typeface="Arial" panose="020B0604020202020204" pitchFamily="34" charset="0"/>
              <a:ea typeface="+mn-ea"/>
              <a:cs typeface="Arial" panose="020B0604020202020204" pitchFamily="34" charset="0"/>
            </a:rPr>
            <a:t> Some clubs have in the past have taken the non-standard step of filling in their entries using the entry sheets in this file but then printing themm off and posting them to our organiser. Also, some have made a PDF file of the relevant sheets and emailed that in, instead of doing things as described above. These are unusual methods but are acceptable. Our organiser will treat those submissions in the same way as a paper-based entry form from our Word entry-form file and will input the entries to our system by hand. It's preferable to email the whole Excel form as-is, though, as that allows the data to be imported directly into our system by computer and eliminates any typo opportunities (at least on our side!).</a:t>
          </a:r>
        </a:p>
        <a:p>
          <a:pPr marL="0" indent="0" eaLnBrk="1" fontAlgn="auto" latinLnBrk="0" hangingPunct="1">
            <a:lnSpc>
              <a:spcPts val="1500"/>
            </a:lnSpc>
            <a:spcBef>
              <a:spcPts val="0"/>
            </a:spcBef>
            <a:spcAft>
              <a:spcPts val="1000"/>
            </a:spcAft>
          </a:pPr>
          <a:r>
            <a:rPr lang="en-GB" sz="1100" b="1" baseline="0">
              <a:solidFill>
                <a:schemeClr val="dk1"/>
              </a:solidFill>
              <a:effectLst/>
              <a:latin typeface="Arial" panose="020B0604020202020204" pitchFamily="34" charset="0"/>
              <a:ea typeface="+mn-ea"/>
              <a:cs typeface="Arial" panose="020B0604020202020204" pitchFamily="34" charset="0"/>
            </a:rPr>
            <a:t>9. Issues</a:t>
          </a:r>
          <a:br>
            <a:rPr lang="en-GB" sz="1100" b="1" baseline="0">
              <a:solidFill>
                <a:schemeClr val="dk1"/>
              </a:solidFill>
              <a:effectLst/>
              <a:latin typeface="Arial" panose="020B0604020202020204" pitchFamily="34" charset="0"/>
              <a:ea typeface="+mn-ea"/>
              <a:cs typeface="Arial" panose="020B0604020202020204" pitchFamily="34" charset="0"/>
            </a:rPr>
          </a:br>
          <a:r>
            <a:rPr lang="en-GB" sz="1100" baseline="0">
              <a:solidFill>
                <a:schemeClr val="dk1"/>
              </a:solidFill>
              <a:effectLst/>
              <a:latin typeface="Arial" panose="020B0604020202020204" pitchFamily="34" charset="0"/>
              <a:ea typeface="+mn-ea"/>
              <a:cs typeface="Arial" panose="020B0604020202020204" pitchFamily="34" charset="0"/>
            </a:rPr>
            <a:t>Some over-zealous computer security products might 'clean' this file when it is downloaded from the email it is delivered in by removing all the internal links between the sheets. We are aware that ZoneAlarm with its Web Secure extension for the Chrome browser does that if emails are downloaded from webmail (e.g. Gmail or Hotmail) running in the Chrome browser. Other security products might do similar things. Unfortunately there is nothing we can do about that and if it happens to you then you will have to select sheets manually (or use another browser, possibly).</a:t>
          </a:r>
        </a:p>
        <a:p>
          <a:pPr marL="0" indent="0" algn="ctr" eaLnBrk="1" fontAlgn="auto" latinLnBrk="0" hangingPunct="1">
            <a:lnSpc>
              <a:spcPts val="1500"/>
            </a:lnSpc>
            <a:spcBef>
              <a:spcPts val="0"/>
            </a:spcBef>
            <a:spcAft>
              <a:spcPts val="1000"/>
            </a:spcAft>
          </a:pPr>
          <a:r>
            <a:rPr lang="en-GB" sz="1100" baseline="0">
              <a:latin typeface="Arial" panose="020B0604020202020204" pitchFamily="34" charset="0"/>
              <a:cs typeface="Arial" panose="020B0604020202020204" pitchFamily="34" charset="0"/>
            </a:rPr>
            <a:t>-------------------------------------------------------------------------------------------------------------------------</a:t>
          </a:r>
        </a:p>
        <a:p>
          <a:pPr marL="0" marR="0" lvl="0" indent="0" defTabSz="914400" eaLnBrk="1" fontAlgn="auto" latinLnBrk="0" hangingPunct="1">
            <a:lnSpc>
              <a:spcPts val="1500"/>
            </a:lnSpc>
            <a:spcBef>
              <a:spcPts val="0"/>
            </a:spcBef>
            <a:spcAft>
              <a:spcPts val="1000"/>
            </a:spcAft>
            <a:buClrTx/>
            <a:buSzTx/>
            <a:buFontTx/>
            <a:buNone/>
            <a:tabLst/>
            <a:defRPr/>
          </a:pPr>
          <a:r>
            <a:rPr lang="en-GB" sz="1400" b="1" baseline="0">
              <a:solidFill>
                <a:srgbClr val="FF0000"/>
              </a:solidFill>
              <a:latin typeface="Arial" panose="020B0604020202020204" pitchFamily="34" charset="0"/>
              <a:cs typeface="Arial" panose="020B0604020202020204" pitchFamily="34" charset="0"/>
            </a:rPr>
            <a:t>If you experience any problems with this system or just need advice on how to use it, please get in touch at </a:t>
          </a:r>
          <a:r>
            <a:rPr lang="en-GB" sz="1400" b="1" i="0" baseline="0">
              <a:solidFill>
                <a:srgbClr val="FF0000"/>
              </a:solidFill>
              <a:latin typeface="Arial" panose="020B0604020202020204" pitchFamily="34" charset="0"/>
              <a:cs typeface="Arial" panose="020B0604020202020204" pitchFamily="34" charset="0"/>
            </a:rPr>
            <a:t>cntsacomps2@gmail.com.</a:t>
          </a:r>
        </a:p>
        <a:p>
          <a:pPr marL="0" marR="0" lvl="0" indent="0" defTabSz="914400" eaLnBrk="1" fontAlgn="auto" latinLnBrk="0" hangingPunct="1">
            <a:lnSpc>
              <a:spcPts val="1500"/>
            </a:lnSpc>
            <a:spcBef>
              <a:spcPts val="0"/>
            </a:spcBef>
            <a:spcAft>
              <a:spcPts val="1000"/>
            </a:spcAft>
            <a:buClrTx/>
            <a:buSzTx/>
            <a:buFontTx/>
            <a:buNone/>
            <a:tabLst/>
            <a:defRPr/>
          </a:pPr>
          <a:r>
            <a:rPr lang="en-GB" sz="1400" b="1" baseline="0">
              <a:solidFill>
                <a:srgbClr val="FF0000"/>
              </a:solidFill>
              <a:latin typeface="Arial" panose="020B0604020202020204" pitchFamily="34" charset="0"/>
              <a:cs typeface="Arial" panose="020B0604020202020204" pitchFamily="34" charset="0"/>
            </a:rPr>
            <a:t>Please note that this system is (even now) still evolving and unforeseen issues may arise. We apologise in advance if any are encountered, but please report them to the above address if you come across anything that appears not to work as intended. If you have any (realistic) suggestions for improving this system, please get in touch.</a:t>
          </a:r>
          <a:endParaRPr lang="en-GB" sz="1100" b="0" baseline="0">
            <a:solidFill>
              <a:srgbClr val="FF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1000"/>
            </a:spcAft>
            <a:buClrTx/>
            <a:buSzTx/>
            <a:buFontTx/>
            <a:buNone/>
            <a:tabLst/>
            <a:defRPr/>
          </a:pPr>
          <a:r>
            <a:rPr lang="en-GB" sz="1100" b="0" baseline="0">
              <a:solidFill>
                <a:schemeClr val="dk1"/>
              </a:solidFill>
              <a:effectLst/>
              <a:latin typeface="Arial" panose="020B0604020202020204" pitchFamily="34" charset="0"/>
              <a:ea typeface="+mn-ea"/>
              <a:cs typeface="Arial" panose="020B0604020202020204" pitchFamily="34" charset="0"/>
            </a:rPr>
            <a:t>WFH</a:t>
          </a:r>
          <a:br>
            <a:rPr lang="en-GB" sz="1100" b="0" baseline="0">
              <a:solidFill>
                <a:schemeClr val="dk1"/>
              </a:solidFill>
              <a:effectLst/>
              <a:latin typeface="Arial" panose="020B0604020202020204" pitchFamily="34" charset="0"/>
              <a:ea typeface="+mn-ea"/>
              <a:cs typeface="Arial" panose="020B0604020202020204" pitchFamily="34" charset="0"/>
            </a:rPr>
          </a:br>
          <a:r>
            <a:rPr lang="en-GB" sz="1100" b="0" baseline="0">
              <a:solidFill>
                <a:schemeClr val="dk1"/>
              </a:solidFill>
              <a:effectLst/>
              <a:latin typeface="Arial" panose="020B0604020202020204" pitchFamily="34" charset="0"/>
              <a:ea typeface="+mn-ea"/>
              <a:cs typeface="Arial" panose="020B0604020202020204" pitchFamily="34" charset="0"/>
            </a:rPr>
            <a:t>July 2025</a:t>
          </a:r>
        </a:p>
      </xdr:txBody>
    </xdr:sp>
    <xdr:clientData/>
  </xdr:twoCellAnchor>
  <xdr:twoCellAnchor editAs="oneCell">
    <xdr:from>
      <xdr:col>11</xdr:col>
      <xdr:colOff>46905</xdr:colOff>
      <xdr:row>0</xdr:row>
      <xdr:rowOff>8659</xdr:rowOff>
    </xdr:from>
    <xdr:to>
      <xdr:col>11</xdr:col>
      <xdr:colOff>597477</xdr:colOff>
      <xdr:row>2</xdr:row>
      <xdr:rowOff>127720</xdr:rowOff>
    </xdr:to>
    <xdr:pic>
      <xdr:nvPicPr>
        <xdr:cNvPr id="4" name="Picture 3">
          <a:extLst>
            <a:ext uri="{FF2B5EF4-FFF2-40B4-BE49-F238E27FC236}">
              <a16:creationId xmlns:a16="http://schemas.microsoft.com/office/drawing/2014/main" id="{44BD68D9-2294-4EA0-A8EC-17016A586D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02678" y="8659"/>
          <a:ext cx="550572" cy="560675"/>
        </a:xfrm>
        <a:prstGeom prst="rect">
          <a:avLst/>
        </a:prstGeom>
      </xdr:spPr>
    </xdr:pic>
    <xdr:clientData/>
  </xdr:twoCellAnchor>
  <xdr:twoCellAnchor editAs="oneCell">
    <xdr:from>
      <xdr:col>1</xdr:col>
      <xdr:colOff>7937</xdr:colOff>
      <xdr:row>0</xdr:row>
      <xdr:rowOff>15875</xdr:rowOff>
    </xdr:from>
    <xdr:to>
      <xdr:col>1</xdr:col>
      <xdr:colOff>563561</xdr:colOff>
      <xdr:row>2</xdr:row>
      <xdr:rowOff>134936</xdr:rowOff>
    </xdr:to>
    <xdr:pic>
      <xdr:nvPicPr>
        <xdr:cNvPr id="6" name="Picture 5">
          <a:extLst>
            <a:ext uri="{FF2B5EF4-FFF2-40B4-BE49-F238E27FC236}">
              <a16:creationId xmlns:a16="http://schemas.microsoft.com/office/drawing/2014/main" id="{FD83AF9A-9F1E-4E4A-848F-3C2A8B4B92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801" y="15875"/>
          <a:ext cx="555624" cy="560675"/>
        </a:xfrm>
        <a:prstGeom prst="rect">
          <a:avLst/>
        </a:prstGeom>
      </xdr:spPr>
    </xdr:pic>
    <xdr:clientData/>
  </xdr:twoCellAnchor>
  <xdr:twoCellAnchor editAs="absolute">
    <xdr:from>
      <xdr:col>1</xdr:col>
      <xdr:colOff>1</xdr:colOff>
      <xdr:row>4</xdr:row>
      <xdr:rowOff>69273</xdr:rowOff>
    </xdr:from>
    <xdr:to>
      <xdr:col>12</xdr:col>
      <xdr:colOff>1</xdr:colOff>
      <xdr:row>18</xdr:row>
      <xdr:rowOff>164522</xdr:rowOff>
    </xdr:to>
    <xdr:sp macro="" textlink="">
      <xdr:nvSpPr>
        <xdr:cNvPr id="3" name="TextBox 2">
          <a:extLst>
            <a:ext uri="{FF2B5EF4-FFF2-40B4-BE49-F238E27FC236}">
              <a16:creationId xmlns:a16="http://schemas.microsoft.com/office/drawing/2014/main" id="{0BCF2FA1-782D-4054-A43E-E43C74A6968C}"/>
            </a:ext>
          </a:extLst>
        </xdr:cNvPr>
        <xdr:cNvSpPr txBox="1"/>
      </xdr:nvSpPr>
      <xdr:spPr>
        <a:xfrm>
          <a:off x="155865" y="891887"/>
          <a:ext cx="6667500" cy="2762249"/>
        </a:xfrm>
        <a:prstGeom prst="rect">
          <a:avLst/>
        </a:prstGeom>
        <a:solidFill>
          <a:schemeClr val="accent6">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1400" b="1" u="sng">
              <a:solidFill>
                <a:sysClr val="windowText" lastClr="000000"/>
              </a:solidFill>
              <a:effectLst/>
              <a:latin typeface="Arial" panose="020B0604020202020204" pitchFamily="34" charset="0"/>
              <a:ea typeface="+mn-ea"/>
              <a:cs typeface="Arial" panose="020B0604020202020204" pitchFamily="34" charset="0"/>
            </a:rPr>
            <a:t>PLEASE NOTE</a:t>
          </a:r>
        </a:p>
        <a:p>
          <a:pPr marL="0" marR="0" lvl="0" indent="0" algn="ctr" defTabSz="914400" eaLnBrk="1" fontAlgn="auto" latinLnBrk="0" hangingPunct="1">
            <a:lnSpc>
              <a:spcPct val="100000"/>
            </a:lnSpc>
            <a:spcBef>
              <a:spcPts val="0"/>
            </a:spcBef>
            <a:spcAft>
              <a:spcPts val="0"/>
            </a:spcAft>
            <a:buClrTx/>
            <a:buSzTx/>
            <a:buFontTx/>
            <a:buNone/>
            <a:tabLst/>
            <a:defRPr/>
          </a:pPr>
          <a:r>
            <a:rPr lang="en-GB" sz="1600" b="1" u="sng">
              <a:solidFill>
                <a:srgbClr val="FF0000"/>
              </a:solidFill>
              <a:effectLst/>
              <a:latin typeface="+mn-lt"/>
              <a:ea typeface="+mn-ea"/>
              <a:cs typeface="+mn-cs"/>
            </a:rPr>
            <a:t>If you don’t have Excel as below or cannot use it for whatever reason, then </a:t>
          </a:r>
          <a:r>
            <a:rPr lang="en-GB" sz="1600" b="1" u="sng" baseline="0">
              <a:solidFill>
                <a:srgbClr val="FF0000"/>
              </a:solidFill>
              <a:effectLst/>
              <a:latin typeface="+mn-lt"/>
              <a:ea typeface="+mn-ea"/>
              <a:cs typeface="+mn-cs"/>
            </a:rPr>
            <a:t>you must use the paper entry forms instead </a:t>
          </a:r>
          <a:r>
            <a:rPr lang="en-GB" sz="1100" b="1" u="sng" baseline="0">
              <a:solidFill>
                <a:srgbClr val="FF0000"/>
              </a:solidFill>
              <a:effectLst/>
              <a:latin typeface="+mn-lt"/>
              <a:ea typeface="+mn-ea"/>
              <a:cs typeface="+mn-cs"/>
            </a:rPr>
            <a:t>(i.e. the '...docx' file)</a:t>
          </a:r>
          <a:endParaRPr lang="en-GB" sz="11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br>
            <a:rPr lang="en-GB" sz="1100" b="1">
              <a:solidFill>
                <a:schemeClr val="dk1"/>
              </a:solidFill>
              <a:effectLst/>
              <a:latin typeface="Arial" panose="020B0604020202020204" pitchFamily="34" charset="0"/>
              <a:ea typeface="+mn-ea"/>
              <a:cs typeface="Arial" panose="020B0604020202020204" pitchFamily="34" charset="0"/>
            </a:rPr>
          </a:br>
          <a:r>
            <a:rPr lang="en-GB" sz="1100" b="1">
              <a:solidFill>
                <a:schemeClr val="dk1"/>
              </a:solidFill>
              <a:effectLst/>
              <a:latin typeface="Arial" panose="020B0604020202020204" pitchFamily="34" charset="0"/>
              <a:ea typeface="+mn-ea"/>
              <a:cs typeface="Arial" panose="020B0604020202020204" pitchFamily="34" charset="0"/>
            </a:rPr>
            <a:t>This system</a:t>
          </a:r>
          <a:r>
            <a:rPr lang="en-GB" sz="1100" b="1" baseline="0">
              <a:solidFill>
                <a:schemeClr val="dk1"/>
              </a:solidFill>
              <a:effectLst/>
              <a:latin typeface="Arial" panose="020B0604020202020204" pitchFamily="34" charset="0"/>
              <a:ea typeface="+mn-ea"/>
              <a:cs typeface="Arial" panose="020B0604020202020204" pitchFamily="34" charset="0"/>
            </a:rPr>
            <a:t> </a:t>
          </a:r>
          <a:r>
            <a:rPr lang="en-GB" sz="1100" b="1">
              <a:solidFill>
                <a:schemeClr val="dk1"/>
              </a:solidFill>
              <a:effectLst/>
              <a:latin typeface="Arial" panose="020B0604020202020204" pitchFamily="34" charset="0"/>
              <a:ea typeface="+mn-ea"/>
              <a:cs typeface="Arial" panose="020B0604020202020204" pitchFamily="34" charset="0"/>
            </a:rPr>
            <a:t>will only work with Microsoft Excel running on either Windows or a Mac or</a:t>
          </a:r>
          <a:r>
            <a:rPr lang="en-GB" sz="1100" b="1" baseline="0">
              <a:solidFill>
                <a:schemeClr val="dk1"/>
              </a:solidFill>
              <a:effectLst/>
              <a:latin typeface="Arial" panose="020B0604020202020204" pitchFamily="34" charset="0"/>
              <a:ea typeface="+mn-ea"/>
              <a:cs typeface="Arial" panose="020B0604020202020204" pitchFamily="34" charset="0"/>
            </a:rPr>
            <a:t> on </a:t>
          </a:r>
          <a:r>
            <a:rPr lang="en-GB" sz="1100" b="1">
              <a:solidFill>
                <a:schemeClr val="dk1"/>
              </a:solidFill>
              <a:effectLst/>
              <a:latin typeface="Arial" panose="020B0604020202020204" pitchFamily="34" charset="0"/>
              <a:ea typeface="+mn-ea"/>
              <a:cs typeface="Arial" panose="020B0604020202020204" pitchFamily="34" charset="0"/>
            </a:rPr>
            <a:t>devices such as an iPad or a phone</a:t>
          </a:r>
          <a:r>
            <a:rPr lang="en-GB" sz="1100" b="1" baseline="0">
              <a:solidFill>
                <a:schemeClr val="dk1"/>
              </a:solidFill>
              <a:effectLst/>
              <a:latin typeface="Arial" panose="020B0604020202020204" pitchFamily="34" charset="0"/>
              <a:ea typeface="+mn-ea"/>
              <a:cs typeface="Arial" panose="020B0604020202020204" pitchFamily="34" charset="0"/>
            </a:rPr>
            <a:t> </a:t>
          </a:r>
          <a:r>
            <a:rPr lang="en-GB" sz="1100" b="1">
              <a:solidFill>
                <a:schemeClr val="dk1"/>
              </a:solidFill>
              <a:effectLst/>
              <a:latin typeface="Arial" panose="020B0604020202020204" pitchFamily="34" charset="0"/>
              <a:ea typeface="+mn-ea"/>
              <a:cs typeface="Arial" panose="020B0604020202020204" pitchFamily="34" charset="0"/>
            </a:rPr>
            <a:t>with an MS365 subscription which includes Excel</a:t>
          </a:r>
          <a:r>
            <a:rPr lang="en-GB" sz="1100" b="1" baseline="0">
              <a:solidFill>
                <a:schemeClr val="dk1"/>
              </a:solidFill>
              <a:effectLst/>
              <a:latin typeface="Arial" panose="020B0604020202020204" pitchFamily="34" charset="0"/>
              <a:ea typeface="+mn-ea"/>
              <a:cs typeface="Arial" panose="020B0604020202020204" pitchFamily="34" charset="0"/>
            </a:rPr>
            <a:t>. On PCs i</a:t>
          </a:r>
          <a:r>
            <a:rPr lang="en-GB" sz="1100" b="1">
              <a:solidFill>
                <a:schemeClr val="dk1"/>
              </a:solidFill>
              <a:effectLst/>
              <a:latin typeface="Arial" panose="020B0604020202020204" pitchFamily="34" charset="0"/>
              <a:ea typeface="+mn-ea"/>
              <a:cs typeface="Arial" panose="020B0604020202020204" pitchFamily="34" charset="0"/>
            </a:rPr>
            <a:t>t is </a:t>
          </a:r>
          <a:r>
            <a:rPr lang="en-GB" sz="1100" b="1" i="1" u="sng">
              <a:solidFill>
                <a:schemeClr val="dk1"/>
              </a:solidFill>
              <a:effectLst/>
              <a:latin typeface="Arial" panose="020B0604020202020204" pitchFamily="34" charset="0"/>
              <a:ea typeface="+mn-ea"/>
              <a:cs typeface="Arial" panose="020B0604020202020204" pitchFamily="34" charset="0"/>
            </a:rPr>
            <a:t>strongly</a:t>
          </a:r>
          <a:r>
            <a:rPr lang="en-GB" sz="1100" b="1">
              <a:solidFill>
                <a:schemeClr val="dk1"/>
              </a:solidFill>
              <a:effectLst/>
              <a:latin typeface="Arial" panose="020B0604020202020204" pitchFamily="34" charset="0"/>
              <a:ea typeface="+mn-ea"/>
              <a:cs typeface="Arial" panose="020B0604020202020204" pitchFamily="34" charset="0"/>
            </a:rPr>
            <a:t> advised to use Excel Version 2007 or later (which includes 365).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Arial" panose="020B0604020202020204" pitchFamily="34" charset="0"/>
              <a:ea typeface="+mn-ea"/>
              <a:cs typeface="Arial" panose="020B0604020202020204" pitchFamily="34" charset="0"/>
            </a:rPr>
            <a:t>Do </a:t>
          </a:r>
          <a:r>
            <a:rPr lang="en-GB" sz="1100" b="1" baseline="0">
              <a:solidFill>
                <a:srgbClr val="FF0000"/>
              </a:solidFill>
              <a:effectLst/>
              <a:latin typeface="Arial" panose="020B0604020202020204" pitchFamily="34" charset="0"/>
              <a:ea typeface="+mn-ea"/>
              <a:cs typeface="Arial" panose="020B0604020202020204" pitchFamily="34" charset="0"/>
            </a:rPr>
            <a:t>NOT</a:t>
          </a:r>
          <a:r>
            <a:rPr lang="en-GB" sz="1100" b="1" baseline="0">
              <a:solidFill>
                <a:schemeClr val="dk1"/>
              </a:solidFill>
              <a:effectLst/>
              <a:latin typeface="Arial" panose="020B0604020202020204" pitchFamily="34" charset="0"/>
              <a:ea typeface="+mn-ea"/>
              <a:cs typeface="Arial" panose="020B0604020202020204" pitchFamily="34" charset="0"/>
            </a:rPr>
            <a:t> try to use '</a:t>
          </a:r>
          <a:r>
            <a:rPr lang="en-GB" sz="1100" b="1">
              <a:solidFill>
                <a:schemeClr val="dk1"/>
              </a:solidFill>
              <a:effectLst/>
              <a:latin typeface="Arial" panose="020B0604020202020204" pitchFamily="34" charset="0"/>
              <a:ea typeface="+mn-ea"/>
              <a:cs typeface="Arial" panose="020B0604020202020204" pitchFamily="34" charset="0"/>
            </a:rPr>
            <a:t>OpenOffice'</a:t>
          </a:r>
          <a:r>
            <a:rPr lang="en-GB" sz="1100" b="1" baseline="0">
              <a:solidFill>
                <a:schemeClr val="dk1"/>
              </a:solidFill>
              <a:effectLst/>
              <a:latin typeface="Arial" panose="020B0604020202020204" pitchFamily="34" charset="0"/>
              <a:ea typeface="+mn-ea"/>
              <a:cs typeface="Arial" panose="020B0604020202020204" pitchFamily="34" charset="0"/>
            </a:rPr>
            <a:t> or 'LibreOffice' or 'Google Sheets' or any other Excel look-alike product on a PC or laptop, or 'Numbers' on an Apple device or any equivalent product on an Android device, as some of Excel's functionalities used by this system do not exist in those products and your entries will not be processed correctly: that will cause both of us grief.</a:t>
          </a:r>
        </a:p>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rgbClr val="FF0000"/>
              </a:solidFill>
              <a:effectLst/>
              <a:latin typeface="Arial" panose="020B0604020202020204" pitchFamily="34" charset="0"/>
              <a:ea typeface="+mn-ea"/>
              <a:cs typeface="Arial" panose="020B0604020202020204" pitchFamily="34" charset="0"/>
            </a:rPr>
            <a:t>So, if you cannot use Excel then you must use the paper forms in the '...docx' file.</a:t>
          </a:r>
        </a:p>
        <a:p>
          <a:pPr marL="0" marR="0" lvl="0" indent="0" algn="ctr" defTabSz="914400" eaLnBrk="1" fontAlgn="auto" latinLnBrk="0" hangingPunct="1">
            <a:lnSpc>
              <a:spcPct val="100000"/>
            </a:lnSpc>
            <a:spcBef>
              <a:spcPts val="0"/>
            </a:spcBef>
            <a:spcAft>
              <a:spcPts val="0"/>
            </a:spcAft>
            <a:buClrTx/>
            <a:buSzTx/>
            <a:buFontTx/>
            <a:buNone/>
            <a:tabLst/>
            <a:defRPr/>
          </a:pPr>
          <a:endParaRPr lang="en-GB" sz="600" b="1" u="sng" baseline="0">
            <a:solidFill>
              <a:srgbClr val="7030A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GB" sz="1400" b="1" u="sng" baseline="0">
              <a:solidFill>
                <a:srgbClr val="7030A0"/>
              </a:solidFill>
              <a:effectLst/>
              <a:latin typeface="+mn-lt"/>
              <a:ea typeface="+mn-ea"/>
              <a:cs typeface="+mn-cs"/>
            </a:rPr>
            <a:t>Please follow the procedures for sending your Excel entries in (Paras 2 &amp; 6)</a:t>
          </a:r>
          <a:endParaRPr lang="en-GB" sz="1400">
            <a:solidFill>
              <a:srgbClr val="7030A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baseline="0">
            <a:solidFill>
              <a:schemeClr val="dk1"/>
            </a:solidFill>
            <a:effectLst/>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br>
            <a:rPr lang="en-GB" sz="1100" b="1" baseline="0">
              <a:solidFill>
                <a:schemeClr val="dk1"/>
              </a:solidFill>
              <a:effectLst/>
              <a:latin typeface="Arial" panose="020B0604020202020204" pitchFamily="34" charset="0"/>
              <a:ea typeface="+mn-ea"/>
              <a:cs typeface="Arial" panose="020B0604020202020204" pitchFamily="34" charset="0"/>
            </a:rPr>
          </a:b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390525</xdr:colOff>
      <xdr:row>18</xdr:row>
      <xdr:rowOff>133350</xdr:rowOff>
    </xdr:from>
    <xdr:to>
      <xdr:col>15</xdr:col>
      <xdr:colOff>0</xdr:colOff>
      <xdr:row>27</xdr:row>
      <xdr:rowOff>38099</xdr:rowOff>
    </xdr:to>
    <xdr:sp macro="" textlink="">
      <xdr:nvSpPr>
        <xdr:cNvPr id="8" name="Text Box 1">
          <a:extLst>
            <a:ext uri="{FF2B5EF4-FFF2-40B4-BE49-F238E27FC236}">
              <a16:creationId xmlns:a16="http://schemas.microsoft.com/office/drawing/2014/main" id="{77FED9EF-1277-4265-B936-7E599072D71D}"/>
            </a:ext>
          </a:extLst>
        </xdr:cNvPr>
        <xdr:cNvSpPr txBox="1">
          <a:spLocks noChangeArrowheads="1"/>
        </xdr:cNvSpPr>
      </xdr:nvSpPr>
      <xdr:spPr bwMode="auto">
        <a:xfrm>
          <a:off x="5429250" y="4638675"/>
          <a:ext cx="1990725" cy="1838324"/>
        </a:xfrm>
        <a:prstGeom prst="rect">
          <a:avLst/>
        </a:prstGeom>
        <a:solidFill>
          <a:srgbClr val="FFFFFF"/>
        </a:solidFill>
        <a:ln w="9525">
          <a:solidFill>
            <a:srgbClr val="000000"/>
          </a:solidFill>
          <a:miter lim="800000"/>
          <a:headEnd/>
          <a:tailEnd/>
        </a:ln>
      </xdr:spPr>
      <xdr:txBody>
        <a:bodyPr vertOverflow="clip" wrap="square" lIns="36000" tIns="36000" rIns="36000" bIns="3600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900" b="1" i="0" u="sng" strike="noStrike" kern="0" cap="none" spc="0" normalizeH="0" baseline="0" noProof="0">
              <a:ln>
                <a:noFill/>
              </a:ln>
              <a:solidFill>
                <a:srgbClr val="000000"/>
              </a:solidFill>
              <a:effectLst/>
              <a:uLnTx/>
              <a:uFillTx/>
              <a:latin typeface="Calibri"/>
              <a:cs typeface="Calibri"/>
            </a:rPr>
            <a:t>GDPR Notice (Data Protection)</a:t>
          </a:r>
          <a:endParaRPr kumimoji="0" lang="en-GB" sz="1050" b="0" i="0" u="none" strike="noStrike" kern="0" cap="none" spc="0" normalizeH="0" baseline="0" noProof="0">
            <a:ln>
              <a:noFill/>
            </a:ln>
            <a:solidFill>
              <a:srgbClr val="000000"/>
            </a:solidFill>
            <a:effectLst/>
            <a:uLnTx/>
            <a:uFillTx/>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900" b="0" i="0" u="none" strike="noStrike" kern="0" cap="none" spc="0" normalizeH="0" baseline="0" noProof="0">
              <a:ln>
                <a:noFill/>
              </a:ln>
              <a:solidFill>
                <a:srgbClr val="000000"/>
              </a:solidFill>
              <a:effectLst/>
              <a:uLnTx/>
              <a:uFillTx/>
              <a:latin typeface="Calibri"/>
              <a:cs typeface="Calibri"/>
            </a:rPr>
            <a:t>By entering any competition organised by the Cumbria &amp; Northumbria Target Shooting Association the signatory of the entry form and all entrants listed agree to the C&amp;NTSA’s Privacy Policy available at http://cntsa.org.uk/. Competitors’ names, clubs and scores will be published on the internet with unrestricted access. Anyone objecting to that or who disagrees with the Privacy Policy should not enter.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xdr:colOff>
      <xdr:row>4</xdr:row>
      <xdr:rowOff>152399</xdr:rowOff>
    </xdr:from>
    <xdr:to>
      <xdr:col>5</xdr:col>
      <xdr:colOff>400050</xdr:colOff>
      <xdr:row>9</xdr:row>
      <xdr:rowOff>171449</xdr:rowOff>
    </xdr:to>
    <xdr:sp macro="" textlink="">
      <xdr:nvSpPr>
        <xdr:cNvPr id="2" name="TextBox 1">
          <a:extLst>
            <a:ext uri="{FF2B5EF4-FFF2-40B4-BE49-F238E27FC236}">
              <a16:creationId xmlns:a16="http://schemas.microsoft.com/office/drawing/2014/main" id="{37CBDDC4-124B-4B03-84AF-9F85F4CFAB88}"/>
            </a:ext>
          </a:extLst>
        </xdr:cNvPr>
        <xdr:cNvSpPr txBox="1"/>
      </xdr:nvSpPr>
      <xdr:spPr>
        <a:xfrm>
          <a:off x="3638550" y="1343024"/>
          <a:ext cx="1457325" cy="981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lstStyle/>
        <a:p>
          <a:r>
            <a:rPr lang="en-GB" sz="900"/>
            <a:t>You cannot</a:t>
          </a:r>
          <a:r>
            <a:rPr lang="en-GB" sz="900" baseline="0"/>
            <a:t> (and do not need to) </a:t>
          </a:r>
          <a:r>
            <a:rPr lang="en-GB" sz="900"/>
            <a:t>update this sheet.</a:t>
          </a:r>
          <a:r>
            <a:rPr lang="en-GB" sz="900" baseline="0"/>
            <a:t> Click on or touch the name of each competition to be entered and insert entrants in the sheet then shown.</a:t>
          </a:r>
          <a:endParaRPr lang="en-GB" sz="900"/>
        </a:p>
      </xdr:txBody>
    </xdr:sp>
    <xdr:clientData/>
  </xdr:twoCellAnchor>
  <xdr:twoCellAnchor>
    <xdr:from>
      <xdr:col>5</xdr:col>
      <xdr:colOff>381000</xdr:colOff>
      <xdr:row>4</xdr:row>
      <xdr:rowOff>142874</xdr:rowOff>
    </xdr:from>
    <xdr:to>
      <xdr:col>12</xdr:col>
      <xdr:colOff>0</xdr:colOff>
      <xdr:row>9</xdr:row>
      <xdr:rowOff>95249</xdr:rowOff>
    </xdr:to>
    <xdr:sp macro="" textlink="">
      <xdr:nvSpPr>
        <xdr:cNvPr id="3" name="TextBox 2">
          <a:extLst>
            <a:ext uri="{FF2B5EF4-FFF2-40B4-BE49-F238E27FC236}">
              <a16:creationId xmlns:a16="http://schemas.microsoft.com/office/drawing/2014/main" id="{EEC1F831-900C-7E93-5A44-64B7709FE815}"/>
            </a:ext>
          </a:extLst>
        </xdr:cNvPr>
        <xdr:cNvSpPr txBox="1"/>
      </xdr:nvSpPr>
      <xdr:spPr>
        <a:xfrm>
          <a:off x="5057775" y="1333499"/>
          <a:ext cx="5153025" cy="914400"/>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en-GB" sz="1050" b="0" i="1" u="none" strike="noStrike">
              <a:solidFill>
                <a:schemeClr val="dk1"/>
              </a:solidFill>
              <a:effectLst/>
              <a:latin typeface="+mn-lt"/>
              <a:ea typeface="+mn-ea"/>
              <a:cs typeface="+mn-cs"/>
            </a:rPr>
            <a:t>Please note that by entering 'J' or 'S' in an entry sheet the competitor will be entered into the relevant Junior or Senior competition and charged accordingly. Do not put in either letter just because the entrant happens to be in that category in your club, but only if they actually want to enter the Junior or Senior competition run concurrently with the equivalent main Individual competition and are properly qualified by age to do so under C&amp;NTSA Rules 3.5.1 &amp; 3.5.2.</a:t>
          </a:r>
          <a:r>
            <a:rPr lang="en-GB" sz="1050"/>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0</xdr:rowOff>
    </xdr:from>
    <xdr:to>
      <xdr:col>13</xdr:col>
      <xdr:colOff>285750</xdr:colOff>
      <xdr:row>326</xdr:row>
      <xdr:rowOff>47625</xdr:rowOff>
    </xdr:to>
    <xdr:sp macro="" textlink="">
      <xdr:nvSpPr>
        <xdr:cNvPr id="4" name="TextBox 3">
          <a:extLst>
            <a:ext uri="{FF2B5EF4-FFF2-40B4-BE49-F238E27FC236}">
              <a16:creationId xmlns:a16="http://schemas.microsoft.com/office/drawing/2014/main" id="{933EE9D1-AEA2-9A47-14C1-8DE9AB8DEB65}"/>
            </a:ext>
          </a:extLst>
        </xdr:cNvPr>
        <xdr:cNvSpPr txBox="1"/>
      </xdr:nvSpPr>
      <xdr:spPr>
        <a:xfrm>
          <a:off x="152400" y="0"/>
          <a:ext cx="7372350" cy="62150625"/>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chemeClr val="dk1"/>
              </a:solidFill>
              <a:effectLst/>
              <a:latin typeface="+mn-lt"/>
              <a:ea typeface="+mn-ea"/>
              <a:cs typeface="+mn-cs"/>
            </a:rPr>
            <a:t>Conditions of Shooting of all Postal Competitions</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If NSRA targets are used in any competition then they MUST have an ‘-18’ suffix designation (or any later equivalent). Any target stamped with the ISSF logo is acceptable.</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Electronic targets may be used only where specified</a:t>
          </a:r>
        </a:p>
        <a:p>
          <a:r>
            <a:rPr lang="en-GB" sz="1100" b="1">
              <a:solidFill>
                <a:schemeClr val="dk1"/>
              </a:solidFill>
              <a:effectLst/>
              <a:latin typeface="+mn-lt"/>
              <a:ea typeface="+mn-ea"/>
              <a:cs typeface="+mn-cs"/>
            </a:rPr>
            <a:t> </a:t>
          </a:r>
          <a:r>
            <a:rPr lang="en-GB">
              <a:effectLst/>
            </a:rPr>
            <a:t> </a:t>
          </a:r>
        </a:p>
        <a:p>
          <a:r>
            <a:rPr lang="en-GB" sz="1100">
              <a:solidFill>
                <a:schemeClr val="dk1"/>
              </a:solidFill>
              <a:effectLst/>
              <a:latin typeface="+mn-lt"/>
              <a:ea typeface="+mn-ea"/>
              <a:cs typeface="+mn-cs"/>
            </a:rPr>
            <a:t>Unless otherwise stated all competitions are run in both Winter and Summer seasons.</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.22 Rifle Short Range Prone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15, 20, 25 Yards or 25 Metres.</a:t>
          </a:r>
        </a:p>
        <a:p>
          <a:r>
            <a:rPr lang="en-GB" sz="1100">
              <a:solidFill>
                <a:schemeClr val="dk1"/>
              </a:solidFill>
              <a:effectLst/>
              <a:latin typeface="+mn-lt"/>
              <a:ea typeface="+mn-ea"/>
              <a:cs typeface="+mn-cs"/>
            </a:rPr>
            <a:t>Targets: N.S.R.A. 1989 Series ‘-18’ pattern (or later) only. Equivalent electronic targets may be used. See Rule 0.12 above for the arrangements for electronic shooting.</a:t>
          </a:r>
        </a:p>
        <a:p>
          <a:r>
            <a:rPr lang="en-GB" sz="1100">
              <a:solidFill>
                <a:schemeClr val="dk1"/>
              </a:solidFill>
              <a:effectLst/>
              <a:latin typeface="+mn-lt"/>
              <a:ea typeface="+mn-ea"/>
              <a:cs typeface="+mn-cs"/>
            </a:rPr>
            <a:t>Calibre: .22 lr</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The Individual competition consists of 10 shots per round (one card). </a:t>
          </a:r>
        </a:p>
        <a:p>
          <a:r>
            <a:rPr lang="en-GB" sz="1100">
              <a:solidFill>
                <a:schemeClr val="dk1"/>
              </a:solidFill>
              <a:effectLst/>
              <a:latin typeface="+mn-lt"/>
              <a:ea typeface="+mn-ea"/>
              <a:cs typeface="+mn-cs"/>
            </a:rPr>
            <a:t>The Team competition consists of 20 shots (10 each at two cards) per team member per round and those two cards may be shot on different days.					Average ex100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.22 Rifle 50m/yds Iron Sights Prone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50 Yards or 50 Metres.</a:t>
          </a:r>
        </a:p>
        <a:p>
          <a:r>
            <a:rPr lang="en-GB" sz="1100">
              <a:solidFill>
                <a:schemeClr val="dk1"/>
              </a:solidFill>
              <a:effectLst/>
              <a:latin typeface="+mn-lt"/>
              <a:ea typeface="+mn-ea"/>
              <a:cs typeface="+mn-cs"/>
            </a:rPr>
            <a:t>Targets: N.S.R.A. 1989 Series ‘-18’ pattern (or later) only. Equivalent electronic targets may be used. See Rule 0.12 above for the arrangements for electronic shooting.</a:t>
          </a:r>
        </a:p>
        <a:p>
          <a:r>
            <a:rPr lang="en-GB" sz="1100">
              <a:solidFill>
                <a:schemeClr val="dk1"/>
              </a:solidFill>
              <a:effectLst/>
              <a:latin typeface="+mn-lt"/>
              <a:ea typeface="+mn-ea"/>
              <a:cs typeface="+mn-cs"/>
            </a:rPr>
            <a:t>50yd: either MM8-18 (full-size) or 5002C-18 (pre-trimmed).</a:t>
          </a:r>
        </a:p>
        <a:p>
          <a:r>
            <a:rPr lang="en-GB" sz="1100">
              <a:solidFill>
                <a:schemeClr val="dk1"/>
              </a:solidFill>
              <a:effectLst/>
              <a:latin typeface="+mn-lt"/>
              <a:ea typeface="+mn-ea"/>
              <a:cs typeface="+mn-cs"/>
            </a:rPr>
            <a:t>50m: MM12C-18 (pre-trimmed) or MM13 (3-card system)</a:t>
          </a:r>
        </a:p>
        <a:p>
          <a:r>
            <a:rPr lang="en-GB" sz="1100">
              <a:solidFill>
                <a:schemeClr val="dk1"/>
              </a:solidFill>
              <a:effectLst/>
              <a:latin typeface="+mn-lt"/>
              <a:ea typeface="+mn-ea"/>
              <a:cs typeface="+mn-cs"/>
            </a:rPr>
            <a:t>If two-diagram cards are used then two cards must be used per round, each with one sticker on it and five shots fired at each diagram. </a:t>
          </a:r>
        </a:p>
        <a:p>
          <a:r>
            <a:rPr lang="en-GB" sz="1100">
              <a:solidFill>
                <a:schemeClr val="dk1"/>
              </a:solidFill>
              <a:effectLst/>
              <a:latin typeface="+mn-lt"/>
              <a:ea typeface="+mn-ea"/>
              <a:cs typeface="+mn-cs"/>
            </a:rPr>
            <a:t>If 3-card-system cards are used, then one card must be used per round: both stickers must be attached adjacent to each other and five shots fired at each diagram.</a:t>
          </a:r>
        </a:p>
        <a:p>
          <a:r>
            <a:rPr lang="en-GB" sz="1100">
              <a:solidFill>
                <a:schemeClr val="dk1"/>
              </a:solidFill>
              <a:effectLst/>
              <a:latin typeface="+mn-lt"/>
              <a:ea typeface="+mn-ea"/>
              <a:cs typeface="+mn-cs"/>
            </a:rPr>
            <a:t>Calibre: .22 lr.</a:t>
          </a:r>
        </a:p>
        <a:p>
          <a:r>
            <a:rPr lang="en-GB" sz="1100">
              <a:solidFill>
                <a:schemeClr val="dk1"/>
              </a:solidFill>
              <a:effectLst/>
              <a:latin typeface="+mn-lt"/>
              <a:ea typeface="+mn-ea"/>
              <a:cs typeface="+mn-cs"/>
            </a:rPr>
            <a:t>Iron sights only.</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Both Individual and Team competitions are 20 shots per round.</a:t>
          </a:r>
        </a:p>
        <a:p>
          <a:r>
            <a:rPr lang="en-GB" sz="1100">
              <a:solidFill>
                <a:schemeClr val="dk1"/>
              </a:solidFill>
              <a:effectLst/>
              <a:latin typeface="+mn-lt"/>
              <a:ea typeface="+mn-ea"/>
              <a:cs typeface="+mn-cs"/>
            </a:rPr>
            <a:t>All 20 shots must be fired within 2 hours.				</a:t>
          </a:r>
        </a:p>
        <a:p>
          <a:r>
            <a:rPr lang="en-GB" sz="1100">
              <a:solidFill>
                <a:schemeClr val="dk1"/>
              </a:solidFill>
              <a:effectLst/>
              <a:latin typeface="+mn-lt"/>
              <a:ea typeface="+mn-ea"/>
              <a:cs typeface="+mn-cs"/>
            </a:rPr>
            <a:t>Cards for this competition may be shot concurrently with the 50x component of the Dewar competition (below) and vice versa, except if shot on electronic targets. 				Average ex200</a:t>
          </a:r>
          <a:br>
            <a:rPr lang="en-GB" sz="1100">
              <a:solidFill>
                <a:schemeClr val="dk1"/>
              </a:solidFill>
              <a:effectLst/>
              <a:latin typeface="+mn-lt"/>
              <a:ea typeface="+mn-ea"/>
              <a:cs typeface="+mn-cs"/>
            </a:rPr>
          </a:b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Dewar Course Iron Sights Prone</a:t>
          </a:r>
          <a:r>
            <a:rPr lang="en-GB" sz="1100">
              <a:solidFill>
                <a:schemeClr val="dk1"/>
              </a:solidFill>
              <a:effectLst/>
              <a:latin typeface="+mn-lt"/>
              <a:ea typeface="+mn-ea"/>
              <a:cs typeface="+mn-cs"/>
            </a:rPr>
            <a:t>				(Individuals and Teams)</a:t>
          </a:r>
        </a:p>
        <a:p>
          <a:r>
            <a:rPr lang="en-GB" sz="1100">
              <a:solidFill>
                <a:schemeClr val="dk1"/>
              </a:solidFill>
              <a:effectLst/>
              <a:latin typeface="+mn-lt"/>
              <a:ea typeface="+mn-ea"/>
              <a:cs typeface="+mn-cs"/>
            </a:rPr>
            <a:t>Distances: 50m/yd and 100yd. 	</a:t>
          </a:r>
        </a:p>
        <a:p>
          <a:r>
            <a:rPr lang="en-GB" sz="1100">
              <a:solidFill>
                <a:schemeClr val="dk1"/>
              </a:solidFill>
              <a:effectLst/>
              <a:latin typeface="+mn-lt"/>
              <a:ea typeface="+mn-ea"/>
              <a:cs typeface="+mn-cs"/>
            </a:rPr>
            <a:t>Targets:</a:t>
          </a:r>
        </a:p>
        <a:p>
          <a:r>
            <a:rPr lang="en-GB" sz="1100">
              <a:solidFill>
                <a:schemeClr val="dk1"/>
              </a:solidFill>
              <a:effectLst/>
              <a:latin typeface="+mn-lt"/>
              <a:ea typeface="+mn-ea"/>
              <a:cs typeface="+mn-cs"/>
            </a:rPr>
            <a:t>50yd: either MM8-18 (full-size) or 5002C-18 (pre-trimmed).</a:t>
          </a:r>
        </a:p>
        <a:p>
          <a:r>
            <a:rPr lang="en-GB" sz="1100">
              <a:solidFill>
                <a:schemeClr val="dk1"/>
              </a:solidFill>
              <a:effectLst/>
              <a:latin typeface="+mn-lt"/>
              <a:ea typeface="+mn-ea"/>
              <a:cs typeface="+mn-cs"/>
            </a:rPr>
            <a:t>50m: MM12C-18 (pre-trimmed) or MM13 (3-card system)</a:t>
          </a:r>
        </a:p>
        <a:p>
          <a:r>
            <a:rPr lang="en-GB" sz="1100">
              <a:solidFill>
                <a:schemeClr val="dk1"/>
              </a:solidFill>
              <a:effectLst/>
              <a:latin typeface="+mn-lt"/>
              <a:ea typeface="+mn-ea"/>
              <a:cs typeface="+mn-cs"/>
            </a:rPr>
            <a:t>If two-diagram cards are used then two cards must be used per round, each with one sticker on it and five shots fired at each diagram. </a:t>
          </a:r>
        </a:p>
        <a:p>
          <a:r>
            <a:rPr lang="en-GB" sz="1100">
              <a:solidFill>
                <a:schemeClr val="dk1"/>
              </a:solidFill>
              <a:effectLst/>
              <a:latin typeface="+mn-lt"/>
              <a:ea typeface="+mn-ea"/>
              <a:cs typeface="+mn-cs"/>
            </a:rPr>
            <a:t>If 3-card-system cards are used, then one card must be used per round: both stickers must be attached adjacent to each other and five shots fired at each diagram.</a:t>
          </a:r>
        </a:p>
        <a:p>
          <a:r>
            <a:rPr lang="en-GB" sz="1100">
              <a:solidFill>
                <a:schemeClr val="dk1"/>
              </a:solidFill>
              <a:effectLst/>
              <a:latin typeface="+mn-lt"/>
              <a:ea typeface="+mn-ea"/>
              <a:cs typeface="+mn-cs"/>
            </a:rPr>
            <a:t>100yd: either two 1001C-18 single-diagram cards (10 shots on each card) with one sticker on each, OR one 3-card system 1003-18 card (10 shots at each diagram) with both stickers attached adjacent to each other.</a:t>
          </a:r>
        </a:p>
        <a:p>
          <a:r>
            <a:rPr lang="en-GB" sz="1100">
              <a:solidFill>
                <a:schemeClr val="dk1"/>
              </a:solidFill>
              <a:effectLst/>
              <a:latin typeface="+mn-lt"/>
              <a:ea typeface="+mn-ea"/>
              <a:cs typeface="+mn-cs"/>
            </a:rPr>
            <a:t>Calibre 0.22 rimfire.</a:t>
          </a:r>
        </a:p>
        <a:p>
          <a:r>
            <a:rPr lang="en-GB" sz="1100">
              <a:solidFill>
                <a:schemeClr val="dk1"/>
              </a:solidFill>
              <a:effectLst/>
              <a:latin typeface="+mn-lt"/>
              <a:ea typeface="+mn-ea"/>
              <a:cs typeface="+mn-cs"/>
            </a:rPr>
            <a:t>Iron sights only.</a:t>
          </a:r>
        </a:p>
        <a:p>
          <a:r>
            <a:rPr lang="en-GB" sz="1100">
              <a:solidFill>
                <a:schemeClr val="dk1"/>
              </a:solidFill>
              <a:effectLst/>
              <a:latin typeface="+mn-lt"/>
              <a:ea typeface="+mn-ea"/>
              <a:cs typeface="+mn-cs"/>
            </a:rPr>
            <a:t>Both Team and Individual competitions are 40 shots per round, 20 at each distance.</a:t>
          </a:r>
        </a:p>
        <a:p>
          <a:r>
            <a:rPr lang="en-GB" sz="1100">
              <a:solidFill>
                <a:schemeClr val="dk1"/>
              </a:solidFill>
              <a:effectLst/>
              <a:latin typeface="+mn-lt"/>
              <a:ea typeface="+mn-ea"/>
              <a:cs typeface="+mn-cs"/>
            </a:rPr>
            <a:t>The cards for the two distances may be shot on different days and each 20 shots must be fired within 2 hours.</a:t>
          </a:r>
        </a:p>
        <a:p>
          <a:r>
            <a:rPr lang="en-GB" sz="1100">
              <a:solidFill>
                <a:schemeClr val="dk1"/>
              </a:solidFill>
              <a:effectLst/>
              <a:latin typeface="+mn-lt"/>
              <a:ea typeface="+mn-ea"/>
              <a:cs typeface="+mn-cs"/>
            </a:rPr>
            <a:t>The 50m/y cards for this competition may be shot concurrently with the cards for the 50m/y I/S competition (above) and vice versa, except if shot on electronic targets.</a:t>
          </a:r>
        </a:p>
        <a:p>
          <a:r>
            <a:rPr lang="en-GB" sz="1100">
              <a:solidFill>
                <a:schemeClr val="dk1"/>
              </a:solidFill>
              <a:effectLst/>
              <a:latin typeface="+mn-lt"/>
              <a:ea typeface="+mn-ea"/>
              <a:cs typeface="+mn-cs"/>
            </a:rPr>
            <a:t>Average: Indoor average ex100. If an indoor average is not available, then use an outdoor average (preferably over a Dewar Course) adjusted to be ex100.</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.22 Rifle 100 yards Any Sights Prone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100 Yards.</a:t>
          </a:r>
        </a:p>
        <a:p>
          <a:r>
            <a:rPr lang="en-GB" sz="1100">
              <a:solidFill>
                <a:schemeClr val="dk1"/>
              </a:solidFill>
              <a:effectLst/>
              <a:latin typeface="+mn-lt"/>
              <a:ea typeface="+mn-ea"/>
              <a:cs typeface="+mn-cs"/>
            </a:rPr>
            <a:t>Targets: either two 1001C-18 single-diagram cards (10 shots on each card) with one sticker on each, OR one 3-card system 1003-18 card (10 shots at each diagram) with both stickers attached adjacent to each other.</a:t>
          </a:r>
        </a:p>
        <a:p>
          <a:r>
            <a:rPr lang="en-GB" sz="1100">
              <a:solidFill>
                <a:schemeClr val="dk1"/>
              </a:solidFill>
              <a:effectLst/>
              <a:latin typeface="+mn-lt"/>
              <a:ea typeface="+mn-ea"/>
              <a:cs typeface="+mn-cs"/>
            </a:rPr>
            <a:t>Calibre: .22 lr.</a:t>
          </a:r>
        </a:p>
        <a:p>
          <a:r>
            <a:rPr lang="en-GB" sz="1100">
              <a:solidFill>
                <a:schemeClr val="dk1"/>
              </a:solidFill>
              <a:effectLst/>
              <a:latin typeface="+mn-lt"/>
              <a:ea typeface="+mn-ea"/>
              <a:cs typeface="+mn-cs"/>
            </a:rPr>
            <a:t>Any sights.</a:t>
          </a:r>
        </a:p>
        <a:p>
          <a:r>
            <a:rPr lang="en-GB" sz="1100">
              <a:solidFill>
                <a:schemeClr val="dk1"/>
              </a:solidFill>
              <a:effectLst/>
              <a:latin typeface="+mn-lt"/>
              <a:ea typeface="+mn-ea"/>
              <a:cs typeface="+mn-cs"/>
            </a:rPr>
            <a:t>20 shots per round.</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Short Range Benchrest Any Sights (.22 Rimfire rifles)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Indoors 20 or 25 Yards or 25 Metres.</a:t>
          </a:r>
        </a:p>
        <a:p>
          <a:r>
            <a:rPr lang="en-GB" sz="1100">
              <a:solidFill>
                <a:schemeClr val="dk1"/>
              </a:solidFill>
              <a:effectLst/>
              <a:latin typeface="+mn-lt"/>
              <a:ea typeface="+mn-ea"/>
              <a:cs typeface="+mn-cs"/>
            </a:rPr>
            <a:t>Targets: N.S.R.A. 1989 Series OR 2010BR17 or 2510BR15 or 25M10BR15, ‘-18’ pattern (or later) only for all. X’s will be scored. The BR-type targets are recommended and preferred.</a:t>
          </a:r>
        </a:p>
        <a:p>
          <a:r>
            <a:rPr lang="en-GB" sz="1100">
              <a:solidFill>
                <a:schemeClr val="dk1"/>
              </a:solidFill>
              <a:effectLst/>
              <a:latin typeface="+mn-lt"/>
              <a:ea typeface="+mn-ea"/>
              <a:cs typeface="+mn-cs"/>
            </a:rPr>
            <a:t>Calibre: .22 lr rimfire only.</a:t>
          </a:r>
        </a:p>
        <a:p>
          <a:r>
            <a:rPr lang="en-GB" sz="1100">
              <a:solidFill>
                <a:schemeClr val="dk1"/>
              </a:solidFill>
              <a:effectLst/>
              <a:latin typeface="+mn-lt"/>
              <a:ea typeface="+mn-ea"/>
              <a:cs typeface="+mn-cs"/>
            </a:rPr>
            <a:t>Any sights.</a:t>
          </a:r>
        </a:p>
        <a:p>
          <a:r>
            <a:rPr lang="en-GB" sz="1100">
              <a:solidFill>
                <a:schemeClr val="dk1"/>
              </a:solidFill>
              <a:effectLst/>
              <a:latin typeface="+mn-lt"/>
              <a:ea typeface="+mn-ea"/>
              <a:cs typeface="+mn-cs"/>
            </a:rPr>
            <a:t>Rifles may be supported on a rest at the fore end only, </a:t>
          </a:r>
          <a:r>
            <a:rPr lang="en-GB" sz="1100" b="1">
              <a:solidFill>
                <a:schemeClr val="dk1"/>
              </a:solidFill>
              <a:effectLst/>
              <a:latin typeface="+mn-lt"/>
              <a:ea typeface="+mn-ea"/>
              <a:cs typeface="+mn-cs"/>
            </a:rPr>
            <a:t>YOU MUST NOT USE AN ARTIFICIAL REAR REST UNDER THE BUTT: THE NON-FIRING HAND MAY BE USED TO SUPPORT THE REAR OF THE RIFLE.</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Front rests complying with NSRA rule 8.16.5 or WRABF rule B8-B11 are acceptable, otherwise all of NSRA Rule 8.16 applies.</a:t>
          </a:r>
        </a:p>
        <a:p>
          <a:r>
            <a:rPr lang="en-GB" sz="1100">
              <a:solidFill>
                <a:schemeClr val="dk1"/>
              </a:solidFill>
              <a:effectLst/>
              <a:latin typeface="+mn-lt"/>
              <a:ea typeface="+mn-ea"/>
              <a:cs typeface="+mn-cs"/>
            </a:rPr>
            <a:t>Teams comprise three members, all of whom (including substitutes) must use .22 rimfire rifles.</a:t>
          </a:r>
        </a:p>
        <a:p>
          <a:r>
            <a:rPr lang="en-GB" sz="1100">
              <a:solidFill>
                <a:schemeClr val="dk1"/>
              </a:solidFill>
              <a:effectLst/>
              <a:latin typeface="+mn-lt"/>
              <a:ea typeface="+mn-ea"/>
              <a:cs typeface="+mn-cs"/>
            </a:rPr>
            <a:t>Both Individuals and Teams competitions are 20 shots per round (10 each at two cards).</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Short Range Benchrest Any Sights (Air rifles)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As for Short Range Benchrest Any Sights (.22 Rimfire rifles) except:</a:t>
          </a:r>
        </a:p>
        <a:p>
          <a:r>
            <a:rPr lang="en-GB" sz="1100">
              <a:solidFill>
                <a:schemeClr val="dk1"/>
              </a:solidFill>
              <a:effectLst/>
              <a:latin typeface="+mn-lt"/>
              <a:ea typeface="+mn-ea"/>
              <a:cs typeface="+mn-cs"/>
            </a:rPr>
            <a:t>Calibre: .0.22 air rifle or 0.177 air rifle. Any type of pellet may be used.</a:t>
          </a:r>
        </a:p>
        <a:p>
          <a:r>
            <a:rPr lang="en-GB" sz="1100">
              <a:solidFill>
                <a:schemeClr val="dk1"/>
              </a:solidFill>
              <a:effectLst/>
              <a:latin typeface="+mn-lt"/>
              <a:ea typeface="+mn-ea"/>
              <a:cs typeface="+mn-cs"/>
            </a:rPr>
            <a:t>0.177 shot holes will be scored with a .22 gauge.</a:t>
          </a:r>
        </a:p>
        <a:p>
          <a:r>
            <a:rPr lang="en-GB" sz="1100">
              <a:solidFill>
                <a:schemeClr val="dk1"/>
              </a:solidFill>
              <a:effectLst/>
              <a:latin typeface="+mn-lt"/>
              <a:ea typeface="+mn-ea"/>
              <a:cs typeface="+mn-cs"/>
            </a:rPr>
            <a:t>Teams comprise three members, all of whom (including substitutes) must use air rifles.</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50m/yds Benchrest Any Sights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50 Metres or 50 Yards. Outdoor ranges only.</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50m: N.S.R.A. 50M10BR17 (preferably) or MM12BR15 ‘-18’ pattern (or later) for both. 50M10BR17 cards may not be trimmed. Cards with the previous pattern code 5010BR17 may also be used.</a:t>
          </a:r>
        </a:p>
        <a:p>
          <a:r>
            <a:rPr lang="en-GB" sz="1100">
              <a:solidFill>
                <a:schemeClr val="dk1"/>
              </a:solidFill>
              <a:effectLst/>
              <a:latin typeface="+mn-lt"/>
              <a:ea typeface="+mn-ea"/>
              <a:cs typeface="+mn-cs"/>
            </a:rPr>
            <a:t>Competitors in Individual divisions 1 &amp; 2 are required to use 50M10BR17-18 targets.</a:t>
          </a:r>
        </a:p>
        <a:p>
          <a:r>
            <a:rPr lang="en-GB" sz="1100">
              <a:solidFill>
                <a:schemeClr val="dk1"/>
              </a:solidFill>
              <a:effectLst/>
              <a:latin typeface="+mn-lt"/>
              <a:ea typeface="+mn-ea"/>
              <a:cs typeface="+mn-cs"/>
            </a:rPr>
            <a:t>50yd: N.S.R.A. 1989 Series ‘-18’ pattern (or later).  </a:t>
          </a:r>
        </a:p>
        <a:p>
          <a:r>
            <a:rPr lang="en-GB" sz="1100">
              <a:solidFill>
                <a:schemeClr val="dk1"/>
              </a:solidFill>
              <a:effectLst/>
              <a:latin typeface="+mn-lt"/>
              <a:ea typeface="+mn-ea"/>
              <a:cs typeface="+mn-cs"/>
            </a:rPr>
            <a:t>Xs will be scored by the NSRA’s “X” ring gauge on 50m cards. On 50yd cards: If a special gauge for gauging Xs on 50yd cards is available, that will be used, otherwise an X will be counted if a shot is entirely within the 10-ring as measured with a standard .22 gauge.</a:t>
          </a:r>
        </a:p>
        <a:p>
          <a:r>
            <a:rPr lang="en-GB" sz="1100">
              <a:solidFill>
                <a:schemeClr val="dk1"/>
              </a:solidFill>
              <a:effectLst/>
              <a:latin typeface="+mn-lt"/>
              <a:ea typeface="+mn-ea"/>
              <a:cs typeface="+mn-cs"/>
            </a:rPr>
            <a:t>If MM12BR15-18 cards (50m) or 1989 Series -18 cards (50yd) are used then two cards must be used per round, each with one sticker on it and five shots fired at each diagram. </a:t>
          </a:r>
        </a:p>
        <a:p>
          <a:r>
            <a:rPr lang="en-GB" sz="1100">
              <a:solidFill>
                <a:schemeClr val="dk1"/>
              </a:solidFill>
              <a:effectLst/>
              <a:latin typeface="+mn-lt"/>
              <a:ea typeface="+mn-ea"/>
              <a:cs typeface="+mn-cs"/>
            </a:rPr>
            <a:t>if 50M10BR17-18 or 5010BR17-18 cards are used then two cards must be used per round, each with one sticker on it and one shot fired at each diagram.</a:t>
          </a:r>
        </a:p>
        <a:p>
          <a:r>
            <a:rPr lang="en-GB" sz="1100">
              <a:solidFill>
                <a:schemeClr val="dk1"/>
              </a:solidFill>
              <a:effectLst/>
              <a:latin typeface="+mn-lt"/>
              <a:ea typeface="+mn-ea"/>
              <a:cs typeface="+mn-cs"/>
            </a:rPr>
            <a:t>Calibre: .22 lr.</a:t>
          </a:r>
        </a:p>
        <a:p>
          <a:r>
            <a:rPr lang="en-GB" sz="1100">
              <a:solidFill>
                <a:schemeClr val="dk1"/>
              </a:solidFill>
              <a:effectLst/>
              <a:latin typeface="+mn-lt"/>
              <a:ea typeface="+mn-ea"/>
              <a:cs typeface="+mn-cs"/>
            </a:rPr>
            <a:t>Any sights (telescopic or iron).</a:t>
          </a:r>
        </a:p>
        <a:p>
          <a:r>
            <a:rPr lang="en-GB" sz="1100">
              <a:solidFill>
                <a:schemeClr val="dk1"/>
              </a:solidFill>
              <a:effectLst/>
              <a:latin typeface="+mn-lt"/>
              <a:ea typeface="+mn-ea"/>
              <a:cs typeface="+mn-cs"/>
            </a:rPr>
            <a:t>Rifles may be supported on a rest at the fore end only, </a:t>
          </a:r>
          <a:r>
            <a:rPr lang="en-GB" sz="1100" b="1">
              <a:solidFill>
                <a:schemeClr val="dk1"/>
              </a:solidFill>
              <a:effectLst/>
              <a:latin typeface="+mn-lt"/>
              <a:ea typeface="+mn-ea"/>
              <a:cs typeface="+mn-cs"/>
            </a:rPr>
            <a:t>YOU MUST NOT USE AN ARTIFICIAL REAR REST UNDER THE BUTT: THE NON-FIRING HAND MAY BE USED TO SUPPORT THE REAR OF THE RIFLE.</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Front rests complying with NSRA rule 8.16.5 or WRABF rule B8-B11 are acceptable, otherwise all of NSRA Rule 8.16 applies.</a:t>
          </a:r>
        </a:p>
        <a:p>
          <a:r>
            <a:rPr lang="en-GB" sz="1100">
              <a:solidFill>
                <a:schemeClr val="dk1"/>
              </a:solidFill>
              <a:effectLst/>
              <a:latin typeface="+mn-lt"/>
              <a:ea typeface="+mn-ea"/>
              <a:cs typeface="+mn-cs"/>
            </a:rPr>
            <a:t>Outdoor ranges only.</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Both Individuals and Teams competitions are 20 shots per round.</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100 yards Benchrest Any Sights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100 yards. Outdoor ranges only.</a:t>
          </a:r>
        </a:p>
        <a:p>
          <a:r>
            <a:rPr lang="en-GB" sz="1100">
              <a:solidFill>
                <a:schemeClr val="dk1"/>
              </a:solidFill>
              <a:effectLst/>
              <a:latin typeface="+mn-lt"/>
              <a:ea typeface="+mn-ea"/>
              <a:cs typeface="+mn-cs"/>
            </a:rPr>
            <a:t>Targets: N.S.R.A. 1001BR15 only, ‘-18’ pattern (or later).  Xs will be counted. Two cards per round, 10 shots at each.</a:t>
          </a:r>
        </a:p>
        <a:p>
          <a:r>
            <a:rPr lang="en-GB" sz="1100">
              <a:solidFill>
                <a:schemeClr val="dk1"/>
              </a:solidFill>
              <a:effectLst/>
              <a:latin typeface="+mn-lt"/>
              <a:ea typeface="+mn-ea"/>
              <a:cs typeface="+mn-cs"/>
            </a:rPr>
            <a:t>Calibre: .22 lr.</a:t>
          </a:r>
        </a:p>
        <a:p>
          <a:r>
            <a:rPr lang="en-GB" sz="1100">
              <a:solidFill>
                <a:schemeClr val="dk1"/>
              </a:solidFill>
              <a:effectLst/>
              <a:latin typeface="+mn-lt"/>
              <a:ea typeface="+mn-ea"/>
              <a:cs typeface="+mn-cs"/>
            </a:rPr>
            <a:t>Any sights (telescopic or iron).</a:t>
          </a:r>
        </a:p>
        <a:p>
          <a:r>
            <a:rPr lang="en-GB" sz="1100">
              <a:solidFill>
                <a:schemeClr val="dk1"/>
              </a:solidFill>
              <a:effectLst/>
              <a:latin typeface="+mn-lt"/>
              <a:ea typeface="+mn-ea"/>
              <a:cs typeface="+mn-cs"/>
            </a:rPr>
            <a:t>Rifles may be supported on a rest at the fore end only, </a:t>
          </a:r>
          <a:r>
            <a:rPr lang="en-GB" sz="1100" b="1">
              <a:solidFill>
                <a:schemeClr val="dk1"/>
              </a:solidFill>
              <a:effectLst/>
              <a:latin typeface="+mn-lt"/>
              <a:ea typeface="+mn-ea"/>
              <a:cs typeface="+mn-cs"/>
            </a:rPr>
            <a:t>YOU MUST NOT USE AN ARTIFICIAL REAR REST UNDER THE BUTT: THE NON-FIRING HAND MAY BE USED TO SUPPORT THE REAR OF THE RIFLE.</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Front rests complying with NSRA rule 8.16.5 or WRABF rule B8-B11 are acceptable, otherwise all of NSRA Rule 8.16 applies.</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Both Individuals and Teams competitions are 20 shots per round.</a:t>
          </a:r>
        </a:p>
        <a:p>
          <a:r>
            <a:rPr lang="en-GB" sz="1100">
              <a:solidFill>
                <a:schemeClr val="dk1"/>
              </a:solidFill>
              <a:effectLst/>
              <a:latin typeface="+mn-lt"/>
              <a:ea typeface="+mn-ea"/>
              <a:cs typeface="+mn-cs"/>
            </a:rPr>
            <a:t>All 20 shots must be fired within 2 hours.				Average ex200</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Sport Rifle (standing)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PL14 or PL14/06, ‘-18’ pattern (or later) for each.</a:t>
          </a:r>
        </a:p>
        <a:p>
          <a:r>
            <a:rPr lang="en-GB" sz="1100">
              <a:solidFill>
                <a:schemeClr val="dk1"/>
              </a:solidFill>
              <a:effectLst/>
              <a:latin typeface="+mn-lt"/>
              <a:ea typeface="+mn-ea"/>
              <a:cs typeface="+mn-cs"/>
            </a:rPr>
            <a:t>25 Metres: SPA1 or N.S.R.A. PL19 ‘-18’ pattern (or later), or I.S.S.F. approved equivalents.</a:t>
          </a:r>
        </a:p>
        <a:p>
          <a:r>
            <a:rPr lang="en-GB" sz="1100">
              <a:solidFill>
                <a:schemeClr val="dk1"/>
              </a:solidFill>
              <a:effectLst/>
              <a:latin typeface="+mn-lt"/>
              <a:ea typeface="+mn-ea"/>
              <a:cs typeface="+mn-cs"/>
            </a:rPr>
            <a:t>Calibre: .22 lr OR Air Rifles (.177 or .22 – any type of pellet may be used). The correct gauge for the calibre will be used.</a:t>
          </a:r>
        </a:p>
        <a:p>
          <a:r>
            <a:rPr lang="en-GB" sz="1100">
              <a:solidFill>
                <a:schemeClr val="dk1"/>
              </a:solidFill>
              <a:effectLst/>
              <a:latin typeface="+mn-lt"/>
              <a:ea typeface="+mn-ea"/>
              <a:cs typeface="+mn-cs"/>
            </a:rPr>
            <a:t>Teams comprise three shooters.</a:t>
          </a:r>
        </a:p>
        <a:p>
          <a:r>
            <a:rPr lang="en-GB" sz="1100">
              <a:solidFill>
                <a:schemeClr val="dk1"/>
              </a:solidFill>
              <a:effectLst/>
              <a:latin typeface="+mn-lt"/>
              <a:ea typeface="+mn-ea"/>
              <a:cs typeface="+mn-cs"/>
            </a:rPr>
            <a:t>The Individual competition consists of 10 shots per round (one card).</a:t>
          </a:r>
        </a:p>
        <a:p>
          <a:r>
            <a:rPr lang="en-GB" sz="1100">
              <a:solidFill>
                <a:schemeClr val="dk1"/>
              </a:solidFill>
              <a:effectLst/>
              <a:latin typeface="+mn-lt"/>
              <a:ea typeface="+mn-ea"/>
              <a:cs typeface="+mn-cs"/>
            </a:rPr>
            <a:t>The Team competition consists of 20 shots (10 each at two cards) per team member per round and those two cards may be shot on different days.</a:t>
          </a:r>
        </a:p>
        <a:p>
          <a:r>
            <a:rPr lang="en-GB" sz="1100">
              <a:solidFill>
                <a:schemeClr val="dk1"/>
              </a:solidFill>
              <a:effectLst/>
              <a:latin typeface="+mn-lt"/>
              <a:ea typeface="+mn-ea"/>
              <a:cs typeface="+mn-cs"/>
            </a:rPr>
            <a:t>No slings or supporting clothing is allowed, position is standing, unsupported.</a:t>
          </a:r>
        </a:p>
        <a:p>
          <a:r>
            <a:rPr lang="en-GB" sz="1100">
              <a:solidFill>
                <a:schemeClr val="dk1"/>
              </a:solidFill>
              <a:effectLst/>
              <a:latin typeface="+mn-lt"/>
              <a:ea typeface="+mn-ea"/>
              <a:cs typeface="+mn-cs"/>
            </a:rPr>
            <a:t>Any sights.						Average ex100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Rapid Fire Rifle (standing)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PL14 or PL14/06, ‘-18’ pattern (or later) for each.</a:t>
          </a:r>
        </a:p>
        <a:p>
          <a:r>
            <a:rPr lang="en-GB" sz="1100">
              <a:solidFill>
                <a:schemeClr val="dk1"/>
              </a:solidFill>
              <a:effectLst/>
              <a:latin typeface="+mn-lt"/>
              <a:ea typeface="+mn-ea"/>
              <a:cs typeface="+mn-cs"/>
            </a:rPr>
            <a:t>25 Metres: SPA1 or N.S.R.A. PL19 ‘-18’ pattern (or later), or I.S.S.F. approved equivalents.</a:t>
          </a:r>
        </a:p>
        <a:p>
          <a:r>
            <a:rPr lang="en-GB" sz="1100">
              <a:solidFill>
                <a:schemeClr val="dk1"/>
              </a:solidFill>
              <a:effectLst/>
              <a:latin typeface="+mn-lt"/>
              <a:ea typeface="+mn-ea"/>
              <a:cs typeface="+mn-cs"/>
            </a:rPr>
            <a:t>Calibre: .22 lr OR .177 air rifle (any type of pellet may be used). The correct gauge for the calibre will be used.</a:t>
          </a:r>
        </a:p>
        <a:p>
          <a:r>
            <a:rPr lang="en-GB" sz="1100">
              <a:solidFill>
                <a:schemeClr val="dk1"/>
              </a:solidFill>
              <a:effectLst/>
              <a:latin typeface="+mn-lt"/>
              <a:ea typeface="+mn-ea"/>
              <a:cs typeface="+mn-cs"/>
            </a:rPr>
            <a:t>Any sights.</a:t>
          </a:r>
        </a:p>
        <a:p>
          <a:r>
            <a:rPr lang="en-GB" sz="1100">
              <a:solidFill>
                <a:schemeClr val="dk1"/>
              </a:solidFill>
              <a:effectLst/>
              <a:latin typeface="+mn-lt"/>
              <a:ea typeface="+mn-ea"/>
              <a:cs typeface="+mn-cs"/>
            </a:rPr>
            <a:t>Individual competitions are 30 shots per round (10 at each of three cards).</a:t>
          </a:r>
        </a:p>
        <a:p>
          <a:r>
            <a:rPr lang="en-GB" sz="1100">
              <a:solidFill>
                <a:schemeClr val="dk1"/>
              </a:solidFill>
              <a:effectLst/>
              <a:latin typeface="+mn-lt"/>
              <a:ea typeface="+mn-ea"/>
              <a:cs typeface="+mn-cs"/>
            </a:rPr>
            <a:t>Card 1: 2 strings of 5 shots in 150 seconds per string.</a:t>
          </a:r>
        </a:p>
        <a:p>
          <a:r>
            <a:rPr lang="en-GB" sz="1100">
              <a:solidFill>
                <a:schemeClr val="dk1"/>
              </a:solidFill>
              <a:effectLst/>
              <a:latin typeface="+mn-lt"/>
              <a:ea typeface="+mn-ea"/>
              <a:cs typeface="+mn-cs"/>
            </a:rPr>
            <a:t>Card 2: 2 strings of 5 shots in 20 seconds per string.</a:t>
          </a:r>
        </a:p>
        <a:p>
          <a:r>
            <a:rPr lang="en-GB" sz="1100">
              <a:solidFill>
                <a:schemeClr val="dk1"/>
              </a:solidFill>
              <a:effectLst/>
              <a:latin typeface="+mn-lt"/>
              <a:ea typeface="+mn-ea"/>
              <a:cs typeface="+mn-cs"/>
            </a:rPr>
            <a:t>Card 3: 2 strings of 5 shots in 10 seconds per string.</a:t>
          </a:r>
        </a:p>
        <a:p>
          <a:r>
            <a:rPr lang="en-GB" sz="1100">
              <a:solidFill>
                <a:schemeClr val="dk1"/>
              </a:solidFill>
              <a:effectLst/>
              <a:latin typeface="+mn-lt"/>
              <a:ea typeface="+mn-ea"/>
              <a:cs typeface="+mn-cs"/>
            </a:rPr>
            <a:t>The time allowed for each competitor to complete the course of fire for each round is 2 hours, and all three cards for each round must be completed on the same day. </a:t>
          </a:r>
        </a:p>
        <a:p>
          <a:r>
            <a:rPr lang="en-GB" sz="1100">
              <a:solidFill>
                <a:schemeClr val="dk1"/>
              </a:solidFill>
              <a:effectLst/>
              <a:latin typeface="+mn-lt"/>
              <a:ea typeface="+mn-ea"/>
              <a:cs typeface="+mn-cs"/>
            </a:rPr>
            <a:t>Excess shots on any card will be penalised under NSRA Rule 5.2.3. Cards with insufficient shots will be scored ‘as is’. If a card has insufficient shots then the range officer or witness should write on the card how many shots are missing.</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If turning targets are not used then timing must be controlled by a Range Officer.	Average ex300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Gallery Rifle Iron Sights (standing)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PL12 ‘-18’ pattern (or later).</a:t>
          </a:r>
        </a:p>
        <a:p>
          <a:r>
            <a:rPr lang="en-GB" sz="1100">
              <a:solidFill>
                <a:schemeClr val="dk1"/>
              </a:solidFill>
              <a:effectLst/>
              <a:latin typeface="+mn-lt"/>
              <a:ea typeface="+mn-ea"/>
              <a:cs typeface="+mn-cs"/>
            </a:rPr>
            <a:t>25 metres: N.S.R.A. PL7 or PL8 centre, ‘-18’ pattern (or later) for each, OR 25m equivalents such as Kruger 3100S or 3130 (centre).</a:t>
          </a:r>
        </a:p>
        <a:p>
          <a:r>
            <a:rPr lang="en-GB" sz="1100">
              <a:solidFill>
                <a:schemeClr val="dk1"/>
              </a:solidFill>
              <a:effectLst/>
              <a:latin typeface="+mn-lt"/>
              <a:ea typeface="+mn-ea"/>
              <a:cs typeface="+mn-cs"/>
            </a:rPr>
            <a:t>On PL7 targets, shots outside of the 4-ring will be scored as a miss.</a:t>
          </a:r>
        </a:p>
        <a:p>
          <a:r>
            <a:rPr lang="en-GB" sz="1100">
              <a:solidFill>
                <a:schemeClr val="dk1"/>
              </a:solidFill>
              <a:effectLst/>
              <a:latin typeface="+mn-lt"/>
              <a:ea typeface="+mn-ea"/>
              <a:cs typeface="+mn-cs"/>
            </a:rPr>
            <a:t>Rifles: Any rifle defined as a Gallery Rifle in NRA GRP Handbook (2016) -- Rule A 2.2.</a:t>
          </a:r>
        </a:p>
        <a:p>
          <a:r>
            <a:rPr lang="en-GB" sz="1100">
              <a:solidFill>
                <a:schemeClr val="dk1"/>
              </a:solidFill>
              <a:effectLst/>
              <a:latin typeface="+mn-lt"/>
              <a:ea typeface="+mn-ea"/>
              <a:cs typeface="+mn-cs"/>
            </a:rPr>
            <a:t>Calibre: any centre fire calibre from .23 to .455. The calibre of projectile used must be shown on each target to assist scoring.</a:t>
          </a:r>
        </a:p>
        <a:p>
          <a:r>
            <a:rPr lang="en-GB" sz="1100">
              <a:solidFill>
                <a:schemeClr val="dk1"/>
              </a:solidFill>
              <a:effectLst/>
              <a:latin typeface="+mn-lt"/>
              <a:ea typeface="+mn-ea"/>
              <a:cs typeface="+mn-cs"/>
            </a:rPr>
            <a:t>All shots will be scored as per their calibre; a stepped gauge will not be used. </a:t>
          </a:r>
        </a:p>
        <a:p>
          <a:r>
            <a:rPr lang="en-GB" sz="1100">
              <a:solidFill>
                <a:schemeClr val="dk1"/>
              </a:solidFill>
              <a:effectLst/>
              <a:latin typeface="+mn-lt"/>
              <a:ea typeface="+mn-ea"/>
              <a:cs typeface="+mn-cs"/>
            </a:rPr>
            <a:t>Iron sights only; red dot or optical sights are prohibited. </a:t>
          </a:r>
        </a:p>
        <a:p>
          <a:r>
            <a:rPr lang="en-GB" sz="1100">
              <a:solidFill>
                <a:schemeClr val="dk1"/>
              </a:solidFill>
              <a:effectLst/>
              <a:latin typeface="+mn-lt"/>
              <a:ea typeface="+mn-ea"/>
              <a:cs typeface="+mn-cs"/>
            </a:rPr>
            <a:t>No gloves or supporting clothing (including weightlifters’ belts) are permitted.</a:t>
          </a:r>
        </a:p>
        <a:p>
          <a:r>
            <a:rPr lang="en-GB" sz="1100">
              <a:solidFill>
                <a:schemeClr val="dk1"/>
              </a:solidFill>
              <a:effectLst/>
              <a:latin typeface="+mn-lt"/>
              <a:ea typeface="+mn-ea"/>
              <a:cs typeface="+mn-cs"/>
            </a:rPr>
            <a:t>Eye and ear protection must be worn whilst shooting this competition.</a:t>
          </a:r>
        </a:p>
        <a:p>
          <a:r>
            <a:rPr lang="en-GB" sz="1100">
              <a:solidFill>
                <a:schemeClr val="dk1"/>
              </a:solidFill>
              <a:effectLst/>
              <a:latin typeface="+mn-lt"/>
              <a:ea typeface="+mn-ea"/>
              <a:cs typeface="+mn-cs"/>
            </a:rPr>
            <a:t>20 shots per round (10 each at 2 cards).</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Gallery Rifle Any Sights (standing)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As per Gallery Rifle Iron Sights except:</a:t>
          </a:r>
        </a:p>
        <a:p>
          <a:r>
            <a:rPr lang="en-GB" sz="1100">
              <a:solidFill>
                <a:schemeClr val="dk1"/>
              </a:solidFill>
              <a:effectLst/>
              <a:latin typeface="+mn-lt"/>
              <a:ea typeface="+mn-ea"/>
              <a:cs typeface="+mn-cs"/>
            </a:rPr>
            <a:t>Any sights (including iron, telescopic and red dot but excluding laser). </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Long-barrelled Revolver Iron Sights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25 yards or 25 Metres.</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Targets:</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20 yards: N.S.R.A. PL12 ‘-18’ pattern (or later).</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25 yards: N.S.R.A. PL19 ‘-18’ pattern (or later) or SPA 1</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25 metres: N.S.R.A. PL7 or PL8 centre, ‘-18’ pattern (or later) for each, OR 25m equivalents such as Kruger 3100S or 3130 (centre).</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On PL7 targets, shots outside of the 4-ring will be scored as a miss.</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Revolvers: Any UK-legal long-barrelled centre-fire cartridge revolver. Shoulder-stocks are not permitted. Grip may be either one- or two-handed.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Calibre: Any calibre from .30 to .455. The calibre of projectile used must be shown on each target to assist scoring.</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All shots will be scored as per their calibre, a stepped gauge will not be used.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Iron sights only.</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No gloves or supporting clothing (including weightlifters’ belts) are permitted.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Eye and ear protection must be worn whilst shooting this competition.</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20 shots per round (10 each at 2 cards).</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Long-barrelled Revolver Any Sights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As for Long-barrelled Revolver Iron Sights except:</a:t>
          </a:r>
        </a:p>
        <a:p>
          <a:r>
            <a:rPr lang="en-GB" sz="1100">
              <a:solidFill>
                <a:schemeClr val="dk1"/>
              </a:solidFill>
              <a:effectLst/>
              <a:latin typeface="+mn-lt"/>
              <a:ea typeface="+mn-ea"/>
              <a:cs typeface="+mn-cs"/>
            </a:rPr>
            <a:t>Any sights: iron, red dot or optical sights only. </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Long-barrelled Pistol					</a:t>
          </a:r>
          <a:r>
            <a:rPr lang="en-GB" sz="1100">
              <a:solidFill>
                <a:schemeClr val="dk1"/>
              </a:solidFill>
              <a:effectLst/>
              <a:latin typeface="+mn-lt"/>
              <a:ea typeface="+mn-ea"/>
              <a:cs typeface="+mn-cs"/>
            </a:rPr>
            <a:t>(Individuals only)</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PL12 ‘-18’ pattern (or later).</a:t>
          </a:r>
        </a:p>
        <a:p>
          <a:r>
            <a:rPr lang="en-GB" sz="1100">
              <a:solidFill>
                <a:schemeClr val="dk1"/>
              </a:solidFill>
              <a:effectLst/>
              <a:latin typeface="+mn-lt"/>
              <a:ea typeface="+mn-ea"/>
              <a:cs typeface="+mn-cs"/>
            </a:rPr>
            <a:t>25 metres: N.S.R.A. PL7 or PL8 centre, ‘-18’ pattern (or later) for each, OR 25m equivalents such as Kruger 3100S or 3130 (centre).</a:t>
          </a:r>
        </a:p>
        <a:p>
          <a:r>
            <a:rPr lang="en-GB" sz="1100">
              <a:solidFill>
                <a:schemeClr val="dk1"/>
              </a:solidFill>
              <a:effectLst/>
              <a:latin typeface="+mn-lt"/>
              <a:ea typeface="+mn-ea"/>
              <a:cs typeface="+mn-cs"/>
            </a:rPr>
            <a:t>On PL7 targets shots outside the 4-ring will be scored as a miss. </a:t>
          </a:r>
        </a:p>
        <a:p>
          <a:r>
            <a:rPr lang="en-GB" sz="1100">
              <a:solidFill>
                <a:schemeClr val="dk1"/>
              </a:solidFill>
              <a:effectLst/>
              <a:latin typeface="+mn-lt"/>
              <a:ea typeface="+mn-ea"/>
              <a:cs typeface="+mn-cs"/>
            </a:rPr>
            <a:t>Pistols: Any UK-legal long-barrelled .22 rimfire pistol. Grip may be either one- or two-handed.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Any sights (including iron, telescopic and red-dot but excluding laser). </a:t>
          </a:r>
        </a:p>
        <a:p>
          <a:r>
            <a:rPr lang="en-GB" sz="1100">
              <a:solidFill>
                <a:schemeClr val="dk1"/>
              </a:solidFill>
              <a:effectLst/>
              <a:latin typeface="+mn-lt"/>
              <a:ea typeface="+mn-ea"/>
              <a:cs typeface="+mn-cs"/>
            </a:rPr>
            <a:t>20 shots per round (10 each at 2 cards).</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Muzzle Loading Pistol (single-shot)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PL12 ‘-18’ pattern (or later).</a:t>
          </a:r>
        </a:p>
        <a:p>
          <a:r>
            <a:rPr lang="en-GB" sz="1100">
              <a:solidFill>
                <a:schemeClr val="dk1"/>
              </a:solidFill>
              <a:effectLst/>
              <a:latin typeface="+mn-lt"/>
              <a:ea typeface="+mn-ea"/>
              <a:cs typeface="+mn-cs"/>
            </a:rPr>
            <a:t>25 metres: N.S.R.A. PL7 or PL8 centre, ‘-18’ pattern (or later) for each, OR 25m equivalents such as Kruger 3100S or 3130 (centre).</a:t>
          </a:r>
        </a:p>
        <a:p>
          <a:r>
            <a:rPr lang="en-GB" sz="1100">
              <a:solidFill>
                <a:schemeClr val="dk1"/>
              </a:solidFill>
              <a:effectLst/>
              <a:latin typeface="+mn-lt"/>
              <a:ea typeface="+mn-ea"/>
              <a:cs typeface="+mn-cs"/>
            </a:rPr>
            <a:t>On PL7 targets shots outside the 4-ring will be scored as a miss.</a:t>
          </a:r>
        </a:p>
        <a:p>
          <a:r>
            <a:rPr lang="en-GB" sz="1100">
              <a:solidFill>
                <a:schemeClr val="dk1"/>
              </a:solidFill>
              <a:effectLst/>
              <a:latin typeface="+mn-lt"/>
              <a:ea typeface="+mn-ea"/>
              <a:cs typeface="+mn-cs"/>
            </a:rPr>
            <a:t>Provided a clean or repaired PL7 target is used as a backing, any shot(s) outside the scoring rings on PL8 targets may be scored within the club (but not by the shooter) and the shot value(s) written on the back of the target.</a:t>
          </a:r>
        </a:p>
        <a:p>
          <a:r>
            <a:rPr lang="en-GB" sz="1100">
              <a:solidFill>
                <a:schemeClr val="dk1"/>
              </a:solidFill>
              <a:effectLst/>
              <a:latin typeface="+mn-lt"/>
              <a:ea typeface="+mn-ea"/>
              <a:cs typeface="+mn-cs"/>
            </a:rPr>
            <a:t>Calibre: any. The calibre of ball used must be shown on each target to assist scoring.</a:t>
          </a:r>
        </a:p>
        <a:p>
          <a:r>
            <a:rPr lang="en-GB" sz="1100">
              <a:solidFill>
                <a:schemeClr val="dk1"/>
              </a:solidFill>
              <a:effectLst/>
              <a:latin typeface="+mn-lt"/>
              <a:ea typeface="+mn-ea"/>
              <a:cs typeface="+mn-cs"/>
            </a:rPr>
            <a:t>Projectiles must be spherical only.</a:t>
          </a:r>
        </a:p>
        <a:p>
          <a:r>
            <a:rPr lang="en-GB" sz="1100">
              <a:solidFill>
                <a:schemeClr val="dk1"/>
              </a:solidFill>
              <a:effectLst/>
              <a:latin typeface="+mn-lt"/>
              <a:ea typeface="+mn-ea"/>
              <a:cs typeface="+mn-cs"/>
            </a:rPr>
            <a:t>Propellant: Black powder wherever possible, or any recognised black powder substitute e.g. Triple 777 or Pyrodex.</a:t>
          </a:r>
        </a:p>
        <a:p>
          <a:r>
            <a:rPr lang="en-GB" sz="1100">
              <a:solidFill>
                <a:schemeClr val="dk1"/>
              </a:solidFill>
              <a:effectLst/>
              <a:latin typeface="+mn-lt"/>
              <a:ea typeface="+mn-ea"/>
              <a:cs typeface="+mn-cs"/>
            </a:rPr>
            <a:t>Shooting position is standing with one-handed grip.</a:t>
          </a:r>
        </a:p>
        <a:p>
          <a:r>
            <a:rPr lang="en-GB" sz="1100">
              <a:solidFill>
                <a:schemeClr val="dk1"/>
              </a:solidFill>
              <a:effectLst/>
              <a:latin typeface="+mn-lt"/>
              <a:ea typeface="+mn-ea"/>
              <a:cs typeface="+mn-cs"/>
            </a:rPr>
            <a:t>MLAGB Rules shall apply, except where modified by the CNTSA.</a:t>
          </a:r>
        </a:p>
        <a:p>
          <a:r>
            <a:rPr lang="en-GB" sz="1100">
              <a:solidFill>
                <a:schemeClr val="dk1"/>
              </a:solidFill>
              <a:effectLst/>
              <a:latin typeface="+mn-lt"/>
              <a:ea typeface="+mn-ea"/>
              <a:cs typeface="+mn-cs"/>
            </a:rPr>
            <a:t>Eye and ear protection must be worn whilst shooting this competition.</a:t>
          </a:r>
        </a:p>
        <a:p>
          <a:r>
            <a:rPr lang="en-GB" sz="1100">
              <a:solidFill>
                <a:schemeClr val="dk1"/>
              </a:solidFill>
              <a:effectLst/>
              <a:latin typeface="+mn-lt"/>
              <a:ea typeface="+mn-ea"/>
              <a:cs typeface="+mn-cs"/>
            </a:rPr>
            <a:t>This competition is for 13 shots per round fired in 30 minutes with the best 10 to count.</a:t>
          </a:r>
        </a:p>
        <a:p>
          <a:r>
            <a:rPr lang="en-GB" sz="1100">
              <a:solidFill>
                <a:schemeClr val="dk1"/>
              </a:solidFill>
              <a:effectLst/>
              <a:latin typeface="+mn-lt"/>
              <a:ea typeface="+mn-ea"/>
              <a:cs typeface="+mn-cs"/>
            </a:rPr>
            <a:t>Shots must be at least 50% over the line to obtain the higher score.		Average ex100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Muzzle Loading Revolver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PL12 ‘-18’ pattern (or later).</a:t>
          </a:r>
        </a:p>
        <a:p>
          <a:r>
            <a:rPr lang="en-GB" sz="1100">
              <a:solidFill>
                <a:schemeClr val="dk1"/>
              </a:solidFill>
              <a:effectLst/>
              <a:latin typeface="+mn-lt"/>
              <a:ea typeface="+mn-ea"/>
              <a:cs typeface="+mn-cs"/>
            </a:rPr>
            <a:t>25 metres: N.S.R.A. PL7 or PL8 centre, ‘-18’ pattern (or later) for each, OR 25m equivalents such as Kruger 3100S or 3130 (centre).</a:t>
          </a:r>
        </a:p>
        <a:p>
          <a:r>
            <a:rPr lang="en-GB" sz="1100">
              <a:solidFill>
                <a:schemeClr val="dk1"/>
              </a:solidFill>
              <a:effectLst/>
              <a:latin typeface="+mn-lt"/>
              <a:ea typeface="+mn-ea"/>
              <a:cs typeface="+mn-cs"/>
            </a:rPr>
            <a:t>Provided a clean or repaired PL7 target is used as a backing, any shot(s) outside the scoring rings on PL8 targets may be scored within the club (but not by the shooter) and the shot value(s) written on the back of the target.</a:t>
          </a:r>
        </a:p>
        <a:p>
          <a:r>
            <a:rPr lang="en-GB" sz="1100">
              <a:solidFill>
                <a:schemeClr val="dk1"/>
              </a:solidFill>
              <a:effectLst/>
              <a:latin typeface="+mn-lt"/>
              <a:ea typeface="+mn-ea"/>
              <a:cs typeface="+mn-cs"/>
            </a:rPr>
            <a:t>Calibre: any. The calibre of projectile used must be shown on each target to assist scoring.</a:t>
          </a:r>
        </a:p>
        <a:p>
          <a:r>
            <a:rPr lang="en-GB" sz="1100">
              <a:solidFill>
                <a:schemeClr val="dk1"/>
              </a:solidFill>
              <a:effectLst/>
              <a:latin typeface="+mn-lt"/>
              <a:ea typeface="+mn-ea"/>
              <a:cs typeface="+mn-cs"/>
            </a:rPr>
            <a:t>Projectiles may be any shape within the spirit of the original, i.e. spherical ball or pricket bullet only.</a:t>
          </a:r>
        </a:p>
        <a:p>
          <a:r>
            <a:rPr lang="en-GB" sz="1100">
              <a:solidFill>
                <a:schemeClr val="dk1"/>
              </a:solidFill>
              <a:effectLst/>
              <a:latin typeface="+mn-lt"/>
              <a:ea typeface="+mn-ea"/>
              <a:cs typeface="+mn-cs"/>
            </a:rPr>
            <a:t>Propellant: Black powder wherever possible, or any recognised black powder substitute e.g. Triple 777 or Pyrodex.</a:t>
          </a:r>
        </a:p>
        <a:p>
          <a:r>
            <a:rPr lang="en-GB" sz="1100">
              <a:solidFill>
                <a:schemeClr val="dk1"/>
              </a:solidFill>
              <a:effectLst/>
              <a:latin typeface="+mn-lt"/>
              <a:ea typeface="+mn-ea"/>
              <a:cs typeface="+mn-cs"/>
            </a:rPr>
            <a:t>Shooting position is standing with one-handed grip.</a:t>
          </a:r>
        </a:p>
        <a:p>
          <a:r>
            <a:rPr lang="en-GB" sz="1100">
              <a:solidFill>
                <a:schemeClr val="dk1"/>
              </a:solidFill>
              <a:effectLst/>
              <a:latin typeface="+mn-lt"/>
              <a:ea typeface="+mn-ea"/>
              <a:cs typeface="+mn-cs"/>
            </a:rPr>
            <a:t>Modern target sights may be used.</a:t>
          </a:r>
        </a:p>
        <a:p>
          <a:r>
            <a:rPr lang="en-GB" sz="1100">
              <a:solidFill>
                <a:schemeClr val="dk1"/>
              </a:solidFill>
              <a:effectLst/>
              <a:latin typeface="+mn-lt"/>
              <a:ea typeface="+mn-ea"/>
              <a:cs typeface="+mn-cs"/>
            </a:rPr>
            <a:t>MLAGB Rules shall apply, except where modified by the CNTSA.</a:t>
          </a:r>
        </a:p>
        <a:p>
          <a:r>
            <a:rPr lang="en-GB" sz="1100">
              <a:solidFill>
                <a:schemeClr val="dk1"/>
              </a:solidFill>
              <a:effectLst/>
              <a:latin typeface="+mn-lt"/>
              <a:ea typeface="+mn-ea"/>
              <a:cs typeface="+mn-cs"/>
            </a:rPr>
            <a:t>Eye and ear protection must be worn whilst shooting this competition.</a:t>
          </a:r>
        </a:p>
        <a:p>
          <a:r>
            <a:rPr lang="en-GB" sz="1100">
              <a:solidFill>
                <a:schemeClr val="dk1"/>
              </a:solidFill>
              <a:effectLst/>
              <a:latin typeface="+mn-lt"/>
              <a:ea typeface="+mn-ea"/>
              <a:cs typeface="+mn-cs"/>
            </a:rPr>
            <a:t>This competition is for 13 shots per round fired in 30 minutes with the best 10 to count.</a:t>
          </a:r>
        </a:p>
        <a:p>
          <a:r>
            <a:rPr lang="en-GB" sz="1100">
              <a:solidFill>
                <a:schemeClr val="dk1"/>
              </a:solidFill>
              <a:effectLst/>
              <a:latin typeface="+mn-lt"/>
              <a:ea typeface="+mn-ea"/>
              <a:cs typeface="+mn-cs"/>
            </a:rPr>
            <a:t>Shots must be at least 50% over the line to obtain the higher score.		Average ex100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Muzzle Loading Nitro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p>
        <a:p>
          <a:r>
            <a:rPr lang="en-GB" sz="1100">
              <a:solidFill>
                <a:schemeClr val="dk1"/>
              </a:solidFill>
              <a:effectLst/>
              <a:latin typeface="+mn-lt"/>
              <a:ea typeface="+mn-ea"/>
              <a:cs typeface="+mn-cs"/>
            </a:rPr>
            <a:t>20 yards: N.S.R.A. PL12 ‘-18’ pattern (or later).</a:t>
          </a:r>
        </a:p>
        <a:p>
          <a:r>
            <a:rPr lang="en-GB" sz="1100">
              <a:solidFill>
                <a:schemeClr val="dk1"/>
              </a:solidFill>
              <a:effectLst/>
              <a:latin typeface="+mn-lt"/>
              <a:ea typeface="+mn-ea"/>
              <a:cs typeface="+mn-cs"/>
            </a:rPr>
            <a:t>25 metres: N.S.R.A. PL7 or PL8 centre, ‘-18’ pattern (or later) for each, OR 25m equivalents such as Kruger 3100S or 3130 (centre).</a:t>
          </a:r>
        </a:p>
        <a:p>
          <a:r>
            <a:rPr lang="en-GB" sz="1100">
              <a:solidFill>
                <a:schemeClr val="dk1"/>
              </a:solidFill>
              <a:effectLst/>
              <a:latin typeface="+mn-lt"/>
              <a:ea typeface="+mn-ea"/>
              <a:cs typeface="+mn-cs"/>
            </a:rPr>
            <a:t>Provided a clean or repaired PL7 target is used as a backing, any shot(s) outside the scoring rings on PL8 targets may be scored within the club (but not by the shooter) and the shot value(s) written on the back of the target.</a:t>
          </a:r>
        </a:p>
        <a:p>
          <a:r>
            <a:rPr lang="en-GB" sz="1100">
              <a:solidFill>
                <a:schemeClr val="dk1"/>
              </a:solidFill>
              <a:effectLst/>
              <a:latin typeface="+mn-lt"/>
              <a:ea typeface="+mn-ea"/>
              <a:cs typeface="+mn-cs"/>
            </a:rPr>
            <a:t>Firearm: any muzzle-loading revolver/pistol/multi shot pistol.</a:t>
          </a:r>
        </a:p>
        <a:p>
          <a:r>
            <a:rPr lang="en-GB" sz="1100">
              <a:solidFill>
                <a:schemeClr val="dk1"/>
              </a:solidFill>
              <a:effectLst/>
              <a:latin typeface="+mn-lt"/>
              <a:ea typeface="+mn-ea"/>
              <a:cs typeface="+mn-cs"/>
            </a:rPr>
            <a:t>Calibre: any. The calibre of projectile used must be shown on each target to assist scoring.</a:t>
          </a:r>
        </a:p>
        <a:p>
          <a:r>
            <a:rPr lang="en-GB" sz="1100">
              <a:solidFill>
                <a:schemeClr val="dk1"/>
              </a:solidFill>
              <a:effectLst/>
              <a:latin typeface="+mn-lt"/>
              <a:ea typeface="+mn-ea"/>
              <a:cs typeface="+mn-cs"/>
            </a:rPr>
            <a:t>Projectiles: any as suitable for the firearm.</a:t>
          </a:r>
        </a:p>
        <a:p>
          <a:r>
            <a:rPr lang="en-GB" sz="1100">
              <a:solidFill>
                <a:schemeClr val="dk1"/>
              </a:solidFill>
              <a:effectLst/>
              <a:latin typeface="+mn-lt"/>
              <a:ea typeface="+mn-ea"/>
              <a:cs typeface="+mn-cs"/>
            </a:rPr>
            <a:t>Propellant: Nitro powder e.g. Bullseye, Green Dot in a muzzle loader, </a:t>
          </a:r>
          <a:r>
            <a:rPr lang="en-GB" sz="1100" i="1">
              <a:solidFill>
                <a:schemeClr val="dk1"/>
              </a:solidFill>
              <a:effectLst/>
              <a:latin typeface="+mn-lt"/>
              <a:ea typeface="+mn-ea"/>
              <a:cs typeface="+mn-cs"/>
            </a:rPr>
            <a:t>providing</a:t>
          </a:r>
          <a:r>
            <a:rPr lang="en-GB" sz="1100">
              <a:solidFill>
                <a:schemeClr val="dk1"/>
              </a:solidFill>
              <a:effectLst/>
              <a:latin typeface="+mn-lt"/>
              <a:ea typeface="+mn-ea"/>
              <a:cs typeface="+mn-cs"/>
            </a:rPr>
            <a:t> the firearm is proofed for the safe use of a nitro type of propellant and the range is authorised for its use.</a:t>
          </a:r>
        </a:p>
        <a:p>
          <a:r>
            <a:rPr lang="en-GB" sz="1100">
              <a:solidFill>
                <a:schemeClr val="dk1"/>
              </a:solidFill>
              <a:effectLst/>
              <a:latin typeface="+mn-lt"/>
              <a:ea typeface="+mn-ea"/>
              <a:cs typeface="+mn-cs"/>
            </a:rPr>
            <a:t>Shooting position is standing with one-handed grip.</a:t>
          </a:r>
        </a:p>
        <a:p>
          <a:r>
            <a:rPr lang="en-GB" sz="1100">
              <a:solidFill>
                <a:schemeClr val="dk1"/>
              </a:solidFill>
              <a:effectLst/>
              <a:latin typeface="+mn-lt"/>
              <a:ea typeface="+mn-ea"/>
              <a:cs typeface="+mn-cs"/>
            </a:rPr>
            <a:t>Modern target sights may be used.</a:t>
          </a:r>
        </a:p>
        <a:p>
          <a:r>
            <a:rPr lang="en-GB" sz="1100">
              <a:solidFill>
                <a:schemeClr val="dk1"/>
              </a:solidFill>
              <a:effectLst/>
              <a:latin typeface="+mn-lt"/>
              <a:ea typeface="+mn-ea"/>
              <a:cs typeface="+mn-cs"/>
            </a:rPr>
            <a:t>MLAGB Rules shall apply, except where modified by the CNTSA.</a:t>
          </a:r>
        </a:p>
        <a:p>
          <a:r>
            <a:rPr lang="en-GB" sz="1100">
              <a:solidFill>
                <a:schemeClr val="dk1"/>
              </a:solidFill>
              <a:effectLst/>
              <a:latin typeface="+mn-lt"/>
              <a:ea typeface="+mn-ea"/>
              <a:cs typeface="+mn-cs"/>
            </a:rPr>
            <a:t>Eye and ear protection must be worn whilst shooting this competition.</a:t>
          </a:r>
        </a:p>
        <a:p>
          <a:r>
            <a:rPr lang="en-GB" sz="1100">
              <a:solidFill>
                <a:schemeClr val="dk1"/>
              </a:solidFill>
              <a:effectLst/>
              <a:latin typeface="+mn-lt"/>
              <a:ea typeface="+mn-ea"/>
              <a:cs typeface="+mn-cs"/>
            </a:rPr>
            <a:t>This competition is for 13 shots per round fired in 30 minutes with the best 10 to count.</a:t>
          </a:r>
        </a:p>
        <a:p>
          <a:r>
            <a:rPr lang="en-GB" sz="1100">
              <a:solidFill>
                <a:schemeClr val="dk1"/>
              </a:solidFill>
              <a:effectLst/>
              <a:latin typeface="+mn-lt"/>
              <a:ea typeface="+mn-ea"/>
              <a:cs typeface="+mn-cs"/>
            </a:rPr>
            <a:t>Shots must be at least 50% over the line to obtain the higher score.		Average ex100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20 Yard Pistol (Air Pistol and .22 Pistol incl. Free Pistols)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20 Yards.</a:t>
          </a:r>
        </a:p>
        <a:p>
          <a:r>
            <a:rPr lang="en-GB" sz="1100">
              <a:solidFill>
                <a:schemeClr val="dk1"/>
              </a:solidFill>
              <a:effectLst/>
              <a:latin typeface="+mn-lt"/>
              <a:ea typeface="+mn-ea"/>
              <a:cs typeface="+mn-cs"/>
            </a:rPr>
            <a:t>Targets: N.S.R.A. PL15 or PL15/09 ‘-18’ pattern (or later) only for each, or I.S.S.F. approved equivalents.</a:t>
          </a:r>
        </a:p>
        <a:p>
          <a:r>
            <a:rPr lang="en-GB" sz="1100">
              <a:solidFill>
                <a:schemeClr val="dk1"/>
              </a:solidFill>
              <a:effectLst/>
              <a:latin typeface="+mn-lt"/>
              <a:ea typeface="+mn-ea"/>
              <a:cs typeface="+mn-cs"/>
            </a:rPr>
            <a:t>Calibre: .22 lr OR Air Pistols (.177 or .22 – any type of pellet may be used).</a:t>
          </a:r>
        </a:p>
        <a:p>
          <a:r>
            <a:rPr lang="en-GB" sz="1100">
              <a:solidFill>
                <a:schemeClr val="dk1"/>
              </a:solidFill>
              <a:effectLst/>
              <a:latin typeface="+mn-lt"/>
              <a:ea typeface="+mn-ea"/>
              <a:cs typeface="+mn-cs"/>
            </a:rPr>
            <a:t>The correct gauge for the calibre will be used.</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Individual competitions are 20 shots per round (10 each at 2 cards).</a:t>
          </a:r>
        </a:p>
        <a:p>
          <a:r>
            <a:rPr lang="en-GB" sz="1100">
              <a:solidFill>
                <a:schemeClr val="dk1"/>
              </a:solidFill>
              <a:effectLst/>
              <a:latin typeface="+mn-lt"/>
              <a:ea typeface="+mn-ea"/>
              <a:cs typeface="+mn-cs"/>
            </a:rPr>
            <a:t>Team competitions are 20 shots per round per team member (two cards).</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Short Range Standard Pistol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20 Yards or 25 Metres.</a:t>
          </a:r>
        </a:p>
        <a:p>
          <a:r>
            <a:rPr lang="en-GB" sz="1100">
              <a:solidFill>
                <a:schemeClr val="dk1"/>
              </a:solidFill>
              <a:effectLst/>
              <a:latin typeface="+mn-lt"/>
              <a:ea typeface="+mn-ea"/>
              <a:cs typeface="+mn-cs"/>
            </a:rPr>
            <a:t>Targets: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20 yards: N.S.R.A. PL12 ‘-18’ pattern (or later) or I.S.S.F. approved equivalent.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25 Metres: N.S.R.A. PL7 ‘-18’ pattern (or later) or I.S.S.F. approved equivalent.</a:t>
          </a:r>
        </a:p>
        <a:p>
          <a:r>
            <a:rPr lang="en-GB" sz="1100">
              <a:solidFill>
                <a:schemeClr val="dk1"/>
              </a:solidFill>
              <a:effectLst/>
              <a:latin typeface="+mn-lt"/>
              <a:ea typeface="+mn-ea"/>
              <a:cs typeface="+mn-cs"/>
            </a:rPr>
            <a:t>Calibre: .22 lr OR Air Pistols (.177 or .22 – any type of pellet may be used).</a:t>
          </a:r>
        </a:p>
        <a:p>
          <a:r>
            <a:rPr lang="en-GB" sz="1100">
              <a:solidFill>
                <a:schemeClr val="dk1"/>
              </a:solidFill>
              <a:effectLst/>
              <a:latin typeface="+mn-lt"/>
              <a:ea typeface="+mn-ea"/>
              <a:cs typeface="+mn-cs"/>
            </a:rPr>
            <a:t>The correct gauge for the calibre will be used.</a:t>
          </a:r>
        </a:p>
        <a:p>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30 shots (10 at each of three cards) per round.</a:t>
          </a:r>
        </a:p>
        <a:p>
          <a:r>
            <a:rPr lang="en-GB" sz="1100">
              <a:solidFill>
                <a:schemeClr val="dk1"/>
              </a:solidFill>
              <a:effectLst/>
              <a:latin typeface="+mn-lt"/>
              <a:ea typeface="+mn-ea"/>
              <a:cs typeface="+mn-cs"/>
            </a:rPr>
            <a:t>Card 1: 2 strings of 5 shots in 150 secs. per string.</a:t>
          </a:r>
        </a:p>
        <a:p>
          <a:r>
            <a:rPr lang="en-GB" sz="1100">
              <a:solidFill>
                <a:schemeClr val="dk1"/>
              </a:solidFill>
              <a:effectLst/>
              <a:latin typeface="+mn-lt"/>
              <a:ea typeface="+mn-ea"/>
              <a:cs typeface="+mn-cs"/>
            </a:rPr>
            <a:t>Card 2: 2 strings of 5 shots in 20 secs. per string.</a:t>
          </a:r>
        </a:p>
        <a:p>
          <a:r>
            <a:rPr lang="en-GB" sz="1100">
              <a:solidFill>
                <a:schemeClr val="dk1"/>
              </a:solidFill>
              <a:effectLst/>
              <a:latin typeface="+mn-lt"/>
              <a:ea typeface="+mn-ea"/>
              <a:cs typeface="+mn-cs"/>
            </a:rPr>
            <a:t>Card 3: 2 strings of 5 shots in 10 secs. per string.</a:t>
          </a:r>
        </a:p>
        <a:p>
          <a:r>
            <a:rPr lang="en-GB" sz="1100">
              <a:solidFill>
                <a:schemeClr val="dk1"/>
              </a:solidFill>
              <a:effectLst/>
              <a:latin typeface="+mn-lt"/>
              <a:ea typeface="+mn-ea"/>
              <a:cs typeface="+mn-cs"/>
            </a:rPr>
            <a:t>The time allowed for each shooter to complete the course of fire for each round is 2 hours, and all three cards for each round must be completed on the same day. </a:t>
          </a:r>
        </a:p>
        <a:p>
          <a:r>
            <a:rPr lang="en-GB" sz="1100">
              <a:solidFill>
                <a:schemeClr val="dk1"/>
              </a:solidFill>
              <a:effectLst/>
              <a:latin typeface="+mn-lt"/>
              <a:ea typeface="+mn-ea"/>
              <a:cs typeface="+mn-cs"/>
            </a:rPr>
            <a:t>If turning targets are not used then timing must be carried out by a Range Officer.	Average ex300</a:t>
          </a:r>
        </a:p>
        <a:p>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10 Metre Air Pistol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10 Metres.</a:t>
          </a:r>
        </a:p>
        <a:p>
          <a:r>
            <a:rPr lang="en-GB" sz="1100">
              <a:solidFill>
                <a:schemeClr val="dk1"/>
              </a:solidFill>
              <a:effectLst/>
              <a:latin typeface="+mn-lt"/>
              <a:ea typeface="+mn-ea"/>
              <a:cs typeface="+mn-cs"/>
            </a:rPr>
            <a:t>Targets: N.S.R.A. Air4/89-18 or I.S.S.F approved 10 Metre Air Pistol Targets. Equivalent electronic targets may be used. See Rule 0.12 above for the arrangements for electronic shooting.</a:t>
          </a:r>
        </a:p>
        <a:p>
          <a:r>
            <a:rPr lang="en-GB" sz="1100">
              <a:solidFill>
                <a:schemeClr val="dk1"/>
              </a:solidFill>
              <a:effectLst/>
              <a:latin typeface="+mn-lt"/>
              <a:ea typeface="+mn-ea"/>
              <a:cs typeface="+mn-cs"/>
            </a:rPr>
            <a:t>Calibre: .177. Wadcutter pellets must be used.</a:t>
          </a:r>
        </a:p>
        <a:p>
          <a:r>
            <a:rPr lang="en-GB" sz="1100">
              <a:solidFill>
                <a:schemeClr val="dk1"/>
              </a:solidFill>
              <a:effectLst/>
              <a:latin typeface="+mn-lt"/>
              <a:ea typeface="+mn-ea"/>
              <a:cs typeface="+mn-cs"/>
            </a:rPr>
            <a:t>Competitors under the age of 12 on the closing date for entries for the competition may shoot with a two-handed grip. All others must use one hand.</a:t>
          </a:r>
        </a:p>
        <a:p>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Individuals and Teams competitions are both 20 shots per round (5 at each of four cards or two strings of 10 or one string of 20 on electronic targets).</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10 Metre Air Pistol, ISSF Supported Rest Shooting</a:t>
          </a:r>
          <a:r>
            <a:rPr lang="en-GB" sz="1100">
              <a:solidFill>
                <a:schemeClr val="dk1"/>
              </a:solidFill>
              <a:effectLst/>
              <a:latin typeface="+mn-lt"/>
              <a:ea typeface="+mn-ea"/>
              <a:cs typeface="+mn-cs"/>
            </a:rPr>
            <a:t>			(Individuals only)</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Distance: 10 metres</a:t>
          </a:r>
        </a:p>
        <a:p>
          <a:r>
            <a:rPr lang="en-GB" sz="1100">
              <a:solidFill>
                <a:schemeClr val="dk1"/>
              </a:solidFill>
              <a:effectLst/>
              <a:latin typeface="+mn-lt"/>
              <a:ea typeface="+mn-ea"/>
              <a:cs typeface="+mn-cs"/>
            </a:rPr>
            <a:t>Targets: N.S.R.A. Air4/89-18 or ISSF approved 10 Metre Air Pistol Targets.  Equivalent electronic targets may be used. See Rule 0.12 above for the arrangements for electronic shooting.</a:t>
          </a:r>
        </a:p>
        <a:p>
          <a:r>
            <a:rPr lang="en-GB" sz="1100">
              <a:solidFill>
                <a:schemeClr val="dk1"/>
              </a:solidFill>
              <a:effectLst/>
              <a:latin typeface="+mn-lt"/>
              <a:ea typeface="+mn-ea"/>
              <a:cs typeface="+mn-cs"/>
            </a:rPr>
            <a:t>Calibre: .177. Wadcutter pellets must be used.</a:t>
          </a:r>
        </a:p>
        <a:p>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20 shots per round (5 at each of four cards or two strings of 10 or one string of 20 on electronic targets).</a:t>
          </a:r>
        </a:p>
        <a:p>
          <a:r>
            <a:rPr lang="en-GB" sz="1100">
              <a:solidFill>
                <a:schemeClr val="dk1"/>
              </a:solidFill>
              <a:effectLst/>
              <a:latin typeface="+mn-lt"/>
              <a:ea typeface="+mn-ea"/>
              <a:cs typeface="+mn-cs"/>
            </a:rPr>
            <a:t>Rests, positions and shooting conduct rules are defined in the ISSF Supported Rest Shooting Rules which are available on their website. The ISSF’s three age categories are not being applied and entrants of any age may take part. Those aged 72 and over may sit to shoot.</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10 Metre Rapid Fire Air Pistol					</a:t>
          </a:r>
          <a:r>
            <a:rPr lang="en-GB" sz="1100">
              <a:solidFill>
                <a:schemeClr val="dk1"/>
              </a:solidFill>
              <a:effectLst/>
              <a:latin typeface="+mn-lt"/>
              <a:ea typeface="+mn-ea"/>
              <a:cs typeface="+mn-cs"/>
            </a:rPr>
            <a:t>(Individuals only)</a:t>
          </a:r>
          <a:br>
            <a:rPr lang="en-GB" sz="1100" b="1">
              <a:solidFill>
                <a:schemeClr val="dk1"/>
              </a:solidFill>
              <a:effectLst/>
              <a:latin typeface="+mn-lt"/>
              <a:ea typeface="+mn-ea"/>
              <a:cs typeface="+mn-cs"/>
            </a:rPr>
          </a:br>
          <a:r>
            <a:rPr lang="en-GB" sz="1100">
              <a:solidFill>
                <a:schemeClr val="dk1"/>
              </a:solidFill>
              <a:effectLst/>
              <a:latin typeface="+mn-lt"/>
              <a:ea typeface="+mn-ea"/>
              <a:cs typeface="+mn-cs"/>
            </a:rPr>
            <a:t>Distance: 10 metres</a:t>
          </a:r>
        </a:p>
        <a:p>
          <a:r>
            <a:rPr lang="en-GB" sz="1100">
              <a:solidFill>
                <a:schemeClr val="dk1"/>
              </a:solidFill>
              <a:effectLst/>
              <a:latin typeface="+mn-lt"/>
              <a:ea typeface="+mn-ea"/>
              <a:cs typeface="+mn-cs"/>
            </a:rPr>
            <a:t>Targets: N.S.R.A. Air4/89-18 or I.S.S.F approved 10 Metre Air Pistol Targets. Equivalent electronic targets may be used but only if the equipment is designed for this style of shooting (e.g. Sport Quantum SQ10). See Rule 0.12 above for the arrangements for electronic shooting.</a:t>
          </a:r>
        </a:p>
        <a:p>
          <a:r>
            <a:rPr lang="en-GB" sz="1100">
              <a:solidFill>
                <a:schemeClr val="dk1"/>
              </a:solidFill>
              <a:effectLst/>
              <a:latin typeface="+mn-lt"/>
              <a:ea typeface="+mn-ea"/>
              <a:cs typeface="+mn-cs"/>
            </a:rPr>
            <a:t>Calibre: .177. Wadcutter pellets must be used.</a:t>
          </a:r>
        </a:p>
        <a:p>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20 shots per round - 5 at each of 4 cards or target exposure on electronics, 10 seconds per 5-shot string.</a:t>
          </a:r>
        </a:p>
        <a:p>
          <a:r>
            <a:rPr lang="en-GB" sz="1100">
              <a:solidFill>
                <a:schemeClr val="dk1"/>
              </a:solidFill>
              <a:effectLst/>
              <a:latin typeface="+mn-lt"/>
              <a:ea typeface="+mn-ea"/>
              <a:cs typeface="+mn-cs"/>
            </a:rPr>
            <a:t>Excess shots on any card will be penalised under NSRA Rule 5.2.3. Cards with insufficient shots will be scored ‘as is’. If a card has insufficient shots then the range officer or witness should write on the card how many shots are missing.</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If turning targets or electronics are not used then timing must be controlled by a Range Officer.</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6 Yards Air Pistol					</a:t>
          </a:r>
          <a:r>
            <a:rPr lang="en-GB" sz="1100">
              <a:solidFill>
                <a:schemeClr val="dk1"/>
              </a:solidFill>
              <a:effectLst/>
              <a:latin typeface="+mn-lt"/>
              <a:ea typeface="+mn-ea"/>
              <a:cs typeface="+mn-cs"/>
            </a:rPr>
            <a:t>(Individuals only)</a:t>
          </a:r>
        </a:p>
        <a:p>
          <a:r>
            <a:rPr lang="en-GB" sz="1100">
              <a:solidFill>
                <a:schemeClr val="dk1"/>
              </a:solidFill>
              <a:effectLst/>
              <a:latin typeface="+mn-lt"/>
              <a:ea typeface="+mn-ea"/>
              <a:cs typeface="+mn-cs"/>
            </a:rPr>
            <a:t>Distance: 6 Yards.</a:t>
          </a:r>
        </a:p>
        <a:p>
          <a:r>
            <a:rPr lang="en-GB" sz="1100">
              <a:solidFill>
                <a:schemeClr val="dk1"/>
              </a:solidFill>
              <a:effectLst/>
              <a:latin typeface="+mn-lt"/>
              <a:ea typeface="+mn-ea"/>
              <a:cs typeface="+mn-cs"/>
            </a:rPr>
            <a:t>Targets: N.S.R.A. Air 8 ‘-18’ pattern (or later). Equivalent electronic targets may be used only if the equipment supports the target dimensions. See Rule 0.12 above for the arrangements for electronic shooting.</a:t>
          </a:r>
        </a:p>
        <a:p>
          <a:r>
            <a:rPr lang="en-GB" sz="1100">
              <a:solidFill>
                <a:schemeClr val="dk1"/>
              </a:solidFill>
              <a:effectLst/>
              <a:latin typeface="+mn-lt"/>
              <a:ea typeface="+mn-ea"/>
              <a:cs typeface="+mn-cs"/>
            </a:rPr>
            <a:t>Calibre: .177. Wadcutter pellets must be used.</a:t>
          </a:r>
        </a:p>
        <a:p>
          <a:r>
            <a:rPr lang="en-GB" sz="1100">
              <a:solidFill>
                <a:schemeClr val="dk1"/>
              </a:solidFill>
              <a:effectLst/>
              <a:latin typeface="+mn-lt"/>
              <a:ea typeface="+mn-ea"/>
              <a:cs typeface="+mn-cs"/>
            </a:rPr>
            <a:t>Competitors under the age of 12 on the closing date for entries for the competition may shoot with a two-handed grip. All others must use one hand.</a:t>
          </a:r>
        </a:p>
        <a:p>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20 shots per round (5 at each of 4 cards).</a:t>
          </a:r>
        </a:p>
        <a:p>
          <a:r>
            <a:rPr lang="en-GB" sz="1100">
              <a:solidFill>
                <a:schemeClr val="dk1"/>
              </a:solidFill>
              <a:effectLst/>
              <a:latin typeface="+mn-lt"/>
              <a:ea typeface="+mn-ea"/>
              <a:cs typeface="+mn-cs"/>
            </a:rPr>
            <a:t>All 20 shots must be fired within 2 hours.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10 Metre Air Rifle					</a:t>
          </a:r>
          <a:r>
            <a:rPr lang="en-GB" sz="1100">
              <a:solidFill>
                <a:schemeClr val="dk1"/>
              </a:solidFill>
              <a:effectLst/>
              <a:latin typeface="+mn-lt"/>
              <a:ea typeface="+mn-ea"/>
              <a:cs typeface="+mn-cs"/>
            </a:rPr>
            <a:t>(Individuals and Teams)</a:t>
          </a:r>
        </a:p>
        <a:p>
          <a:r>
            <a:rPr lang="en-GB" sz="1100">
              <a:solidFill>
                <a:schemeClr val="dk1"/>
              </a:solidFill>
              <a:effectLst/>
              <a:latin typeface="+mn-lt"/>
              <a:ea typeface="+mn-ea"/>
              <a:cs typeface="+mn-cs"/>
            </a:rPr>
            <a:t>Distance: 10 Metres.</a:t>
          </a:r>
        </a:p>
        <a:p>
          <a:r>
            <a:rPr lang="en-GB" sz="1100">
              <a:solidFill>
                <a:schemeClr val="dk1"/>
              </a:solidFill>
              <a:effectLst/>
              <a:latin typeface="+mn-lt"/>
              <a:ea typeface="+mn-ea"/>
              <a:cs typeface="+mn-cs"/>
            </a:rPr>
            <a:t>Targets: N.S.R.A. Air 3/89 or Air 2 ‘-18’ pattern (or later) for both, or I.S.S.F. approved equivalents. Equivalent electronic targets may be used. See Rule 0.12 above for the arrangements for electronic shooting.</a:t>
          </a:r>
        </a:p>
        <a:p>
          <a:r>
            <a:rPr lang="en-GB" sz="1100">
              <a:solidFill>
                <a:schemeClr val="dk1"/>
              </a:solidFill>
              <a:effectLst/>
              <a:latin typeface="+mn-lt"/>
              <a:ea typeface="+mn-ea"/>
              <a:cs typeface="+mn-cs"/>
            </a:rPr>
            <a:t>Calibre: .177. Wadcutter pellets must be used.</a:t>
          </a:r>
        </a:p>
        <a:p>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For Air 2 targets, stickers, signatures and dates must ALL appear on the FRONT of the target.</a:t>
          </a:r>
        </a:p>
        <a:p>
          <a:r>
            <a:rPr lang="en-GB" sz="1100">
              <a:solidFill>
                <a:schemeClr val="dk1"/>
              </a:solidFill>
              <a:effectLst/>
              <a:latin typeface="+mn-lt"/>
              <a:ea typeface="+mn-ea"/>
              <a:cs typeface="+mn-cs"/>
            </a:rPr>
            <a:t>Teams comprise three members.</a:t>
          </a:r>
        </a:p>
        <a:p>
          <a:r>
            <a:rPr lang="en-GB" sz="1100">
              <a:solidFill>
                <a:schemeClr val="dk1"/>
              </a:solidFill>
              <a:effectLst/>
              <a:latin typeface="+mn-lt"/>
              <a:ea typeface="+mn-ea"/>
              <a:cs typeface="+mn-cs"/>
            </a:rPr>
            <a:t>Individuals and Teams competitions are both 20 shots per round (5 at each of 4 cards or two strings of 10 or one string of 20 on electronic targets).</a:t>
          </a:r>
        </a:p>
        <a:p>
          <a:r>
            <a:rPr lang="en-GB" sz="1100">
              <a:solidFill>
                <a:schemeClr val="dk1"/>
              </a:solidFill>
              <a:effectLst/>
              <a:latin typeface="+mn-lt"/>
              <a:ea typeface="+mn-ea"/>
              <a:cs typeface="+mn-cs"/>
            </a:rPr>
            <a:t>All 20 shots must be fired within 2 hours.</a:t>
          </a:r>
        </a:p>
        <a:p>
          <a:r>
            <a:rPr lang="en-GB" sz="1100">
              <a:solidFill>
                <a:schemeClr val="dk1"/>
              </a:solidFill>
              <a:effectLst/>
              <a:latin typeface="+mn-lt"/>
              <a:ea typeface="+mn-ea"/>
              <a:cs typeface="+mn-cs"/>
            </a:rPr>
            <a:t>Unless in possession of an NSRA Dispensation Certificate to the contrary, shooters permitted to shoot sitting (in a wheelchair or not) must use a spring rest. 					Average ex200</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10 Metre Air Rifle, ISSF Supported Rest Shooting</a:t>
          </a:r>
          <a:r>
            <a:rPr lang="en-GB" sz="1100">
              <a:solidFill>
                <a:schemeClr val="dk1"/>
              </a:solidFill>
              <a:effectLst/>
              <a:latin typeface="+mn-lt"/>
              <a:ea typeface="+mn-ea"/>
              <a:cs typeface="+mn-cs"/>
            </a:rPr>
            <a:t>			(Individuals only)</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Distance: 10 metres</a:t>
          </a:r>
        </a:p>
        <a:p>
          <a:r>
            <a:rPr lang="en-GB" sz="1100">
              <a:solidFill>
                <a:schemeClr val="dk1"/>
              </a:solidFill>
              <a:effectLst/>
              <a:latin typeface="+mn-lt"/>
              <a:ea typeface="+mn-ea"/>
              <a:cs typeface="+mn-cs"/>
            </a:rPr>
            <a:t>Targets: N.S.R.A. Air 3/89 or Air 2 ‘-18’ pattern (or later) for both, or I.S.S.F. approved equivalents. Equivalent electronic targets may be used. See Rule 0.12 above for the arrangements for electronic shooting.</a:t>
          </a:r>
        </a:p>
        <a:p>
          <a:r>
            <a:rPr lang="en-GB" sz="1100">
              <a:solidFill>
                <a:schemeClr val="dk1"/>
              </a:solidFill>
              <a:effectLst/>
              <a:latin typeface="+mn-lt"/>
              <a:ea typeface="+mn-ea"/>
              <a:cs typeface="+mn-cs"/>
            </a:rPr>
            <a:t>For Air 2 targets, stickers, signatures and dates must ALL appear on the FRONT of the targets.</a:t>
          </a:r>
        </a:p>
        <a:p>
          <a:r>
            <a:rPr lang="en-GB" sz="1100">
              <a:solidFill>
                <a:schemeClr val="dk1"/>
              </a:solidFill>
              <a:effectLst/>
              <a:latin typeface="+mn-lt"/>
              <a:ea typeface="+mn-ea"/>
              <a:cs typeface="+mn-cs"/>
            </a:rPr>
            <a:t>Calibre: .177 (wadcutter pellets must be used).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The weight of the trigger pull must conform to National requirements.</a:t>
          </a:r>
        </a:p>
        <a:p>
          <a:r>
            <a:rPr lang="en-GB" sz="1100">
              <a:solidFill>
                <a:schemeClr val="dk1"/>
              </a:solidFill>
              <a:effectLst/>
              <a:latin typeface="+mn-lt"/>
              <a:ea typeface="+mn-ea"/>
              <a:cs typeface="+mn-cs"/>
            </a:rPr>
            <a:t>20 shots per round (5 at each of 4 cards or two strings of 10 or one string of 20 on electronic targets).</a:t>
          </a:r>
        </a:p>
        <a:p>
          <a:r>
            <a:rPr lang="en-GB" sz="1100">
              <a:solidFill>
                <a:schemeClr val="dk1"/>
              </a:solidFill>
              <a:effectLst/>
              <a:latin typeface="+mn-lt"/>
              <a:ea typeface="+mn-ea"/>
              <a:cs typeface="+mn-cs"/>
            </a:rPr>
            <a:t>All 20 shots must be fired within 2 hours.	</a:t>
          </a:r>
        </a:p>
        <a:p>
          <a:r>
            <a:rPr lang="en-GB" sz="1100">
              <a:solidFill>
                <a:schemeClr val="dk1"/>
              </a:solidFill>
              <a:effectLst/>
              <a:latin typeface="+mn-lt"/>
              <a:ea typeface="+mn-ea"/>
              <a:cs typeface="+mn-cs"/>
            </a:rPr>
            <a:t>Rests, positions and shooting conduct rules are defined in the ISSF Supported Rest Shooting Rules which are available on their website. The ISSF’s three age categories are not being applied and entrants of any age may take part. Those aged 72 and over may sit to shoot.</a:t>
          </a:r>
        </a:p>
        <a:p>
          <a:r>
            <a:rPr lang="en-GB" sz="1100">
              <a:solidFill>
                <a:schemeClr val="dk1"/>
              </a:solidFill>
              <a:effectLst/>
              <a:latin typeface="+mn-lt"/>
              <a:ea typeface="+mn-ea"/>
              <a:cs typeface="+mn-cs"/>
            </a:rPr>
            <a:t>As this is run to standard ISSF Rules (with the above age exception) it is not open to competitors who sit to shoot.						Average ex200</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illh\Documents\C&amp;NTSA\C&amp;NLeague\EntryFormMaintenance.xlsm" TargetMode="External"/><Relationship Id="rId1" Type="http://schemas.openxmlformats.org/officeDocument/2006/relationships/externalLinkPath" Target="/Users/billh/Documents/C&amp;NTSA/C&amp;NLeague/EntryFormMaintenanc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Control"/>
      <sheetName val="Add_ReplaceComp"/>
      <sheetName val="RemoveComp"/>
      <sheetName val="RenameComp"/>
      <sheetName val="Template1"/>
      <sheetName val="Template2"/>
      <sheetName val="Template3"/>
      <sheetName val="TemplateConstruction"/>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C09CE-D76F-4EA2-A842-B1C1EB577CFA}">
  <sheetPr codeName="Sheet1">
    <tabColor rgb="FF660066"/>
  </sheetPr>
  <dimension ref="B1:L5"/>
  <sheetViews>
    <sheetView showGridLines="0" showRowColHeaders="0" tabSelected="1" zoomScale="110" zoomScaleNormal="110" workbookViewId="0"/>
  </sheetViews>
  <sheetFormatPr defaultColWidth="8.85546875" defaultRowHeight="15" x14ac:dyDescent="0.25"/>
  <cols>
    <col min="1" max="1" width="2.28515625" customWidth="1"/>
  </cols>
  <sheetData>
    <row r="1" spans="2:12" s="45" customFormat="1" ht="19.5" x14ac:dyDescent="0.3">
      <c r="B1" s="129" t="s">
        <v>8</v>
      </c>
      <c r="C1" s="129"/>
      <c r="D1" s="129"/>
      <c r="E1" s="129"/>
      <c r="F1" s="129"/>
      <c r="G1" s="129"/>
      <c r="H1" s="129"/>
      <c r="I1" s="129"/>
      <c r="J1" s="129"/>
      <c r="K1" s="129"/>
      <c r="L1" s="129"/>
    </row>
    <row r="2" spans="2:12" x14ac:dyDescent="0.25">
      <c r="B2" s="128" t="s">
        <v>56</v>
      </c>
      <c r="C2" s="128"/>
      <c r="D2" s="128"/>
      <c r="E2" s="128"/>
      <c r="F2" s="128"/>
      <c r="G2" s="128"/>
      <c r="H2" s="128"/>
      <c r="I2" s="128"/>
      <c r="J2" s="128"/>
      <c r="K2" s="128"/>
      <c r="L2" s="128"/>
    </row>
    <row r="4" spans="2:12" x14ac:dyDescent="0.25">
      <c r="B4" s="127" t="s">
        <v>113</v>
      </c>
      <c r="C4" s="127"/>
      <c r="D4" s="127"/>
      <c r="E4" s="127"/>
      <c r="F4" s="127"/>
      <c r="G4" s="127"/>
      <c r="H4" s="127"/>
      <c r="I4" s="127"/>
      <c r="J4" s="127"/>
      <c r="K4" s="127"/>
      <c r="L4" s="127"/>
    </row>
    <row r="5" spans="2:12" x14ac:dyDescent="0.25">
      <c r="B5" t="s">
        <v>55</v>
      </c>
    </row>
  </sheetData>
  <sheetProtection algorithmName="SHA-512" hashValue="6boKyL9y2nq4pF0x4e6lvJr1+xEkMjOL9KTFNPSfHKA9R9U6iLGMgz1O4Udy3zD1S9ilMwnognuObgxQpl+J0w==" saltValue="89OdyFTsvyumVmk58coYww==" spinCount="100000" sheet="1" objects="1" selectLockedCells="1" selectUnlockedCells="1"/>
  <mergeCells count="3">
    <mergeCell ref="B4:L4"/>
    <mergeCell ref="B2:L2"/>
    <mergeCell ref="B1:L1"/>
  </mergeCells>
  <printOptions horizontalCentered="1"/>
  <pageMargins left="0.43307086614173229" right="0.43307086614173229" top="0.57999999999999996" bottom="0.64" header="0.23622047244094491" footer="0.31496062992125984"/>
  <pageSetup paperSize="9" fitToHeight="2"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8A49-1808-4259-9038-7325FFFF9003}">
  <sheetPr codeName="Sheet81">
    <tabColor rgb="FFC6E0B4"/>
  </sheetPr>
  <dimension ref="A1:F2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IF(COUNTIFS(ap6errs,"?*")&gt;0,"Errors on the sheet, please see below the table","")</f>
        <v/>
      </c>
      <c r="D4" s="80"/>
    </row>
    <row r="5" spans="1:6" x14ac:dyDescent="0.25">
      <c r="A5" s="9"/>
      <c r="B5" s="69" t="s">
        <v>42</v>
      </c>
      <c r="C5" s="9"/>
      <c r="D5" s="9"/>
    </row>
    <row r="6" spans="1:6" ht="18.75" thickBot="1" x14ac:dyDescent="0.3">
      <c r="A6" s="10"/>
      <c r="B6" s="207" t="s">
        <v>99</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thickBot="1" x14ac:dyDescent="0.3">
      <c r="A18" s="89">
        <v>10</v>
      </c>
      <c r="B18" s="66"/>
      <c r="C18" s="53"/>
      <c r="D18" s="65"/>
      <c r="E18" s="13"/>
    </row>
    <row r="19" spans="1:5" x14ac:dyDescent="0.25">
      <c r="A19" s="9"/>
      <c r="B19" s="4" t="str">
        <f>IF(COUNTA(ap6nms)&lt;&gt;COUNT(ap6avs)," Mismatch between number of Names and number of Averages. Please check.","")</f>
        <v/>
      </c>
      <c r="C19" s="12"/>
      <c r="D19" s="12"/>
    </row>
    <row r="20" spans="1:5" x14ac:dyDescent="0.25">
      <c r="B20" s="4" t="str">
        <f>IF(COUNTA(ap6js)&gt;COUNTA(ap6nms)," There are more Juns/Sens than the total number of entrants","")</f>
        <v/>
      </c>
    </row>
    <row r="21" spans="1:5" x14ac:dyDescent="0.25">
      <c r="B21" s="4"/>
    </row>
  </sheetData>
  <sheetProtection algorithmName="SHA-512" hashValue="Nbab+hHYrfnFG+sSbynuA5PuZDAXPgqtl0SKYKPdW17t4EEIQTox4WNr9Al/yfU74MN3GownmL1bpVMonTtTmw==" saltValue="USB5oBWE+7/Kh9ZbCo8ZMg=="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18" xr:uid="{C3E8681A-4D7C-43C7-9F5A-EFE18B90BBE4}">
      <formula1>1</formula1>
      <formula2>200</formula2>
    </dataValidation>
    <dataValidation type="custom" allowBlank="1" showInputMessage="1" showErrorMessage="1" errorTitle="Data error" error="Enter J or S (upper or lower case) to make an entry in the Junior or Senior competition." sqref="D9:D18" xr:uid="{39E40DAC-9372-419C-B528-F24A09315B4B}">
      <formula1>OR(D9="J",D9="J",D9="s",D9="S")</formula1>
    </dataValidation>
  </dataValidations>
  <hyperlinks>
    <hyperlink ref="B4" location="summap6" display="Go to Summary sheet" xr:uid="{2E80779A-044C-4DBC-B3CD-67E010E94AA3}"/>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BDA54-3947-4DE1-B5CC-BE107D92D8A8}">
  <sheetPr codeName="Sheet60">
    <tabColor rgb="FF000000"/>
  </sheetPr>
  <dimension ref="A1:G39"/>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IF(COUNTIFS(BR100errs,"?*")&gt;0,"Errors on the sheet, please see below the table","")</f>
        <v/>
      </c>
    </row>
    <row r="5" spans="1:7" x14ac:dyDescent="0.25">
      <c r="A5" s="9"/>
      <c r="B5" s="69" t="s">
        <v>40</v>
      </c>
      <c r="C5" s="9"/>
      <c r="D5" s="9"/>
    </row>
    <row r="6" spans="1:7" ht="18.75" thickBot="1" x14ac:dyDescent="0.3">
      <c r="A6" s="10"/>
      <c r="B6" s="207" t="s">
        <v>97</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33"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x14ac:dyDescent="0.25">
      <c r="A28" s="89">
        <v>20</v>
      </c>
      <c r="B28" s="51"/>
      <c r="C28" s="19"/>
      <c r="D28" s="20"/>
      <c r="E28" s="20"/>
      <c r="F28" s="52"/>
      <c r="G28" s="68" t="str">
        <f t="shared" si="0"/>
        <v/>
      </c>
    </row>
    <row r="29" spans="1:7" ht="15" customHeight="1" x14ac:dyDescent="0.25">
      <c r="A29" s="89">
        <v>21</v>
      </c>
      <c r="B29" s="51"/>
      <c r="C29" s="19"/>
      <c r="D29" s="20"/>
      <c r="E29" s="20"/>
      <c r="F29" s="52"/>
      <c r="G29" s="68" t="str">
        <f t="shared" si="0"/>
        <v/>
      </c>
    </row>
    <row r="30" spans="1:7" ht="15" customHeight="1" x14ac:dyDescent="0.25">
      <c r="A30" s="89">
        <v>22</v>
      </c>
      <c r="B30" s="51"/>
      <c r="C30" s="19"/>
      <c r="D30" s="20"/>
      <c r="E30" s="20"/>
      <c r="F30" s="52"/>
      <c r="G30" s="68" t="str">
        <f t="shared" si="0"/>
        <v/>
      </c>
    </row>
    <row r="31" spans="1:7" ht="15" customHeight="1" x14ac:dyDescent="0.25">
      <c r="A31" s="89">
        <v>23</v>
      </c>
      <c r="B31" s="51"/>
      <c r="C31" s="19"/>
      <c r="D31" s="20"/>
      <c r="E31" s="20"/>
      <c r="F31" s="52"/>
      <c r="G31" s="68" t="str">
        <f t="shared" si="0"/>
        <v/>
      </c>
    </row>
    <row r="32" spans="1:7" ht="15" customHeight="1" x14ac:dyDescent="0.25">
      <c r="A32" s="89">
        <v>24</v>
      </c>
      <c r="B32" s="51"/>
      <c r="C32" s="19"/>
      <c r="D32" s="20"/>
      <c r="E32" s="20"/>
      <c r="F32" s="52"/>
      <c r="G32" s="68" t="str">
        <f t="shared" si="0"/>
        <v/>
      </c>
    </row>
    <row r="33" spans="1:7" ht="15" customHeight="1" thickBot="1" x14ac:dyDescent="0.3">
      <c r="A33" s="89">
        <v>25</v>
      </c>
      <c r="B33" s="55"/>
      <c r="C33" s="53"/>
      <c r="D33" s="56"/>
      <c r="E33" s="56"/>
      <c r="F33" s="54"/>
      <c r="G33" s="68" t="str">
        <f t="shared" si="0"/>
        <v/>
      </c>
    </row>
    <row r="34" spans="1:7" x14ac:dyDescent="0.25">
      <c r="B34" s="4" t="str">
        <f>IF(COUNTA(BR100nms)&gt;COUNT(BR100avs)," There are more Names than Averages. Please check.","")</f>
        <v/>
      </c>
    </row>
    <row r="35" spans="1:7" x14ac:dyDescent="0.25">
      <c r="B35" s="4" t="str">
        <f>IF(COUNTA(BR100nms)&lt;COUNT(BR100avs)," There are more Averages than Names. Please check.","")</f>
        <v/>
      </c>
    </row>
    <row r="36" spans="1:7" x14ac:dyDescent="0.25">
      <c r="B36" s="4" t="str">
        <f>IF(AND(COUNTA(BR100tms)&gt;0,MOD(COUNTA(BR100tms),3)&lt;&gt;0)," The number of team letters must be a multiple of 3.","")</f>
        <v/>
      </c>
    </row>
    <row r="37" spans="1:7" x14ac:dyDescent="0.25">
      <c r="B37" s="4" t="str">
        <f>IF(COUNTA(BR100js)&gt;COUNTA(BR100inds)," There are more Juns/Sens than the number of individual entrants","")</f>
        <v/>
      </c>
    </row>
    <row r="38" spans="1:7" x14ac:dyDescent="0.25">
      <c r="B38" s="4" t="str">
        <f>IF(COUNTA(BR100tms)&gt;COUNTA(BR100nms)," There are more team letters than potential  team members.","")</f>
        <v/>
      </c>
    </row>
    <row r="39" spans="1:7" x14ac:dyDescent="0.25">
      <c r="B39" s="4" t="str">
        <f>IF(COUNTIFS(BR100chk,"?*")&gt;0," Name entered neither as an Individual nor as a Team member. See 'x' at side.","")</f>
        <v/>
      </c>
    </row>
  </sheetData>
  <sheetProtection algorithmName="SHA-512" hashValue="xAkp1PTAfU9ia0LJPZ52OCugweFO7wd/d5ZO30u11lU/pNvygGA2PfxSbb2+CjHGACbwAkkEi4LLRr4SfPdiKA==" saltValue="pEgaQ40SmKW8kL20HrazMg=="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33" xr:uid="{E4646881-618E-42B5-9A0D-E86DC8BA7C87}">
      <formula1>1</formula1>
      <formula2>200</formula2>
    </dataValidation>
    <dataValidation type="custom" allowBlank="1" showInputMessage="1" showErrorMessage="1" errorTitle="Data Error" error="Enter 'x' or 'X' for Individual entrants." sqref="D9:D33" xr:uid="{9B94E3A7-48A2-417C-9CD5-512B08AEEA3D}">
      <formula1>OR(EXACT(D9,"x"),EXACT(D9,"X"))</formula1>
    </dataValidation>
    <dataValidation type="custom" allowBlank="1" showInputMessage="1" showErrorMessage="1" errorTitle="Data error" error="Team letters must be one-charcater alphabetic." sqref="F9:F33" xr:uid="{D82AC5B6-8163-426D-90A0-548B68D56E10}">
      <formula1>AND(LEN(F9)=1,ISTEXT(F9))</formula1>
    </dataValidation>
    <dataValidation type="custom" allowBlank="1" showInputMessage="1" showErrorMessage="1" errorTitle="Data error" error="error" sqref="K9" xr:uid="{26BB1338-B8FF-4A1A-9D33-D998C27161C3}">
      <formula1>AND(LEN(F9)=1,ISTEXT(F9))</formula1>
    </dataValidation>
    <dataValidation type="custom" allowBlank="1" showInputMessage="1" showErrorMessage="1" errorTitle="Data error" error="Enter 'J' or  S' (upper or lower case) to make an entry to the Junior or Senior competition." sqref="E9:E33" xr:uid="{CA8D3EC3-3D02-4130-A48D-9EABA8716247}">
      <formula1>OR(E9="J",E9="J",E9="s",E9="S")</formula1>
    </dataValidation>
  </dataValidations>
  <hyperlinks>
    <hyperlink ref="B4" location="summBR100" display="Go to Summary sheet" xr:uid="{5394959C-8DC7-4398-B7E8-FD1D11A67CD1}"/>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A62F6-A931-48DA-9FE3-0CCA13F2ED61}">
  <sheetPr codeName="Sheet54">
    <tabColor rgb="FF833C0C"/>
  </sheetPr>
  <dimension ref="A1:G34"/>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IF(COUNTIFS(lrbrerrs,"?*")&gt;0,"Errors on the sheet, please see below the table","")</f>
        <v/>
      </c>
    </row>
    <row r="5" spans="1:7" x14ac:dyDescent="0.25">
      <c r="A5" s="9"/>
      <c r="B5" s="69" t="s">
        <v>40</v>
      </c>
      <c r="C5" s="9"/>
      <c r="D5" s="9"/>
    </row>
    <row r="6" spans="1:7" ht="18.75" thickBot="1" x14ac:dyDescent="0.3">
      <c r="A6" s="10"/>
      <c r="B6" s="207" t="s">
        <v>92</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28"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thickBot="1" x14ac:dyDescent="0.3">
      <c r="A28" s="89">
        <v>20</v>
      </c>
      <c r="B28" s="55"/>
      <c r="C28" s="53"/>
      <c r="D28" s="56"/>
      <c r="E28" s="56"/>
      <c r="F28" s="54"/>
      <c r="G28" s="68" t="str">
        <f t="shared" si="0"/>
        <v/>
      </c>
    </row>
    <row r="29" spans="1:7" x14ac:dyDescent="0.25">
      <c r="B29" s="4" t="str">
        <f>IF(COUNTA(lrbrnms)&gt;COUNT(lrbravs)," There are more Names than Averages. Please check.","")</f>
        <v/>
      </c>
    </row>
    <row r="30" spans="1:7" x14ac:dyDescent="0.25">
      <c r="B30" s="4" t="str">
        <f>IF(COUNTA(lrbrnms)&lt;COUNT(lrbravs)," There are more Averages than Names. Please check.","")</f>
        <v/>
      </c>
    </row>
    <row r="31" spans="1:7" x14ac:dyDescent="0.25">
      <c r="B31" s="4" t="str">
        <f>IF(AND(COUNTA(lrbrtms)&gt;0,MOD(COUNTA(lrbrtms),3)&lt;&gt;0)," The number of team letters must be a multiple of 3.","")</f>
        <v/>
      </c>
    </row>
    <row r="32" spans="1:7" x14ac:dyDescent="0.25">
      <c r="B32" s="4" t="str">
        <f>IF(COUNTA(lrbrjs)&gt;COUNTA(lrbrinds)," There are more Juns/Sens than the number of individual entrants","")</f>
        <v/>
      </c>
    </row>
    <row r="33" spans="2:2" x14ac:dyDescent="0.25">
      <c r="B33" s="4" t="str">
        <f>IF(COUNTA(lrbrtms)&gt;COUNTA(lrbrnms)," There are more team letters than potential  team members.","")</f>
        <v/>
      </c>
    </row>
    <row r="34" spans="2:2" x14ac:dyDescent="0.25">
      <c r="B34" s="4" t="str">
        <f>IF(COUNTIFS(lrbrchk,"?*")&gt;0," Name entered neither as an Individual nor as a Team member. See 'x' at side.","")</f>
        <v/>
      </c>
    </row>
  </sheetData>
  <sheetProtection algorithmName="SHA-512" hashValue="cpXjd0JEjZI1OJeLoMXcQYFhgijLLCmFUGTFdFgvDlyKBVkzVJf0NngkL6c3dLkYQ+cnDyV6qGJZcgMk8znIkg==" saltValue="37fGAZWf4iH2xJ8ToSlE1Q=="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28" xr:uid="{9CF70E55-038E-47D5-A149-BC7DC54DA03E}">
      <formula1>1</formula1>
      <formula2>200</formula2>
    </dataValidation>
    <dataValidation type="custom" allowBlank="1" showInputMessage="1" showErrorMessage="1" errorTitle="Data Error" error="Enter 'x' or 'X' for Individual entrants." sqref="D9:D28" xr:uid="{50AA3653-CDCE-4915-B1BC-86DF2454ADDE}">
      <formula1>OR(EXACT(D9,"x"),EXACT(D9,"X"))</formula1>
    </dataValidation>
    <dataValidation type="custom" allowBlank="1" showInputMessage="1" showErrorMessage="1" errorTitle="Data error" error="Team letters must be one-charcater alphabetic." sqref="F9:F28" xr:uid="{886E07E4-11BA-4F76-AA0F-F2E900CE5133}">
      <formula1>AND(LEN(F9)=1,ISTEXT(F9))</formula1>
    </dataValidation>
    <dataValidation type="custom" allowBlank="1" showInputMessage="1" showErrorMessage="1" errorTitle="Data error" error="error" sqref="K9" xr:uid="{3A2EC235-F1A7-4475-93DE-C4BFF86A6D9A}">
      <formula1>AND(LEN(F9)=1,ISTEXT(F9))</formula1>
    </dataValidation>
    <dataValidation type="custom" allowBlank="1" showInputMessage="1" showErrorMessage="1" errorTitle="Data error" error="Enter 'J' or  S' (upper or lower case) to make an entry to the Junior or Senior competition." sqref="E9:E28" xr:uid="{D776A745-DC09-45BF-955F-E6EAE655AD01}">
      <formula1>OR(E9="J",E9="J",E9="s",E9="S")</formula1>
    </dataValidation>
  </dataValidations>
  <hyperlinks>
    <hyperlink ref="B4" location="summlrbr" display="Go to Summary sheet" xr:uid="{B168D46E-0984-468D-850F-1DB77F77A480}"/>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39542-9EE5-42A3-8B27-A0F74386FADE}">
  <sheetPr codeName="Sheet58">
    <tabColor rgb="FFC65911"/>
  </sheetPr>
  <dimension ref="A1:G39"/>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IF(COUNTIFS(srbraerrs,"?*")&gt;0,"Errors on the sheet, please see below the table","")</f>
        <v/>
      </c>
    </row>
    <row r="5" spans="1:7" x14ac:dyDescent="0.25">
      <c r="A5" s="9"/>
      <c r="B5" s="69" t="s">
        <v>40</v>
      </c>
      <c r="C5" s="9"/>
      <c r="D5" s="9"/>
    </row>
    <row r="6" spans="1:7" ht="18.75" thickBot="1" x14ac:dyDescent="0.3">
      <c r="A6" s="10"/>
      <c r="B6" s="207" t="s">
        <v>71</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33"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x14ac:dyDescent="0.25">
      <c r="A28" s="89">
        <v>20</v>
      </c>
      <c r="B28" s="51"/>
      <c r="C28" s="19"/>
      <c r="D28" s="20"/>
      <c r="E28" s="20"/>
      <c r="F28" s="52"/>
      <c r="G28" s="68" t="str">
        <f t="shared" si="0"/>
        <v/>
      </c>
    </row>
    <row r="29" spans="1:7" ht="15" customHeight="1" x14ac:dyDescent="0.25">
      <c r="A29" s="89">
        <v>21</v>
      </c>
      <c r="B29" s="51"/>
      <c r="C29" s="19"/>
      <c r="D29" s="20"/>
      <c r="E29" s="20"/>
      <c r="F29" s="52"/>
      <c r="G29" s="68" t="str">
        <f t="shared" si="0"/>
        <v/>
      </c>
    </row>
    <row r="30" spans="1:7" ht="15" customHeight="1" x14ac:dyDescent="0.25">
      <c r="A30" s="89">
        <v>22</v>
      </c>
      <c r="B30" s="51"/>
      <c r="C30" s="19"/>
      <c r="D30" s="20"/>
      <c r="E30" s="20"/>
      <c r="F30" s="52"/>
      <c r="G30" s="68" t="str">
        <f t="shared" si="0"/>
        <v/>
      </c>
    </row>
    <row r="31" spans="1:7" ht="15" customHeight="1" x14ac:dyDescent="0.25">
      <c r="A31" s="89">
        <v>23</v>
      </c>
      <c r="B31" s="51"/>
      <c r="C31" s="19"/>
      <c r="D31" s="20"/>
      <c r="E31" s="20"/>
      <c r="F31" s="52"/>
      <c r="G31" s="68" t="str">
        <f t="shared" si="0"/>
        <v/>
      </c>
    </row>
    <row r="32" spans="1:7" ht="15" customHeight="1" x14ac:dyDescent="0.25">
      <c r="A32" s="89">
        <v>24</v>
      </c>
      <c r="B32" s="51"/>
      <c r="C32" s="19"/>
      <c r="D32" s="20"/>
      <c r="E32" s="20"/>
      <c r="F32" s="52"/>
      <c r="G32" s="68" t="str">
        <f t="shared" si="0"/>
        <v/>
      </c>
    </row>
    <row r="33" spans="1:7" ht="15" customHeight="1" thickBot="1" x14ac:dyDescent="0.3">
      <c r="A33" s="89">
        <v>25</v>
      </c>
      <c r="B33" s="55"/>
      <c r="C33" s="53"/>
      <c r="D33" s="56"/>
      <c r="E33" s="56"/>
      <c r="F33" s="54"/>
      <c r="G33" s="68" t="str">
        <f t="shared" si="0"/>
        <v/>
      </c>
    </row>
    <row r="34" spans="1:7" x14ac:dyDescent="0.25">
      <c r="B34" s="4" t="str">
        <f>IF(COUNTA(srbranms)&gt;COUNT(srbraavs)," There are more Names than Averages. Please check.","")</f>
        <v/>
      </c>
    </row>
    <row r="35" spans="1:7" x14ac:dyDescent="0.25">
      <c r="B35" s="4" t="str">
        <f>IF(COUNTA(srbranms)&lt;COUNT(srbraavs)," There are more Averages than Names. Please check.","")</f>
        <v/>
      </c>
    </row>
    <row r="36" spans="1:7" x14ac:dyDescent="0.25">
      <c r="B36" s="4" t="str">
        <f>IF(AND(COUNTA(srbratms)&gt;0,MOD(COUNTA(srbratms),3)&lt;&gt;0)," The number of team letters must be a multiple of 3.","")</f>
        <v/>
      </c>
    </row>
    <row r="37" spans="1:7" x14ac:dyDescent="0.25">
      <c r="B37" s="4" t="str">
        <f>IF(COUNTA(srbrajs)&gt;COUNTA(srbrainds)," There are more Juns/Sens than the number of individual entrants","")</f>
        <v/>
      </c>
    </row>
    <row r="38" spans="1:7" x14ac:dyDescent="0.25">
      <c r="B38" s="4" t="str">
        <f>IF(COUNTA(srbratms)&gt;COUNTA(srbranms)," There are more team letters than potential  team members.","")</f>
        <v/>
      </c>
    </row>
    <row r="39" spans="1:7" x14ac:dyDescent="0.25">
      <c r="B39" s="4" t="str">
        <f>IF(COUNTIFS(srbrachk,"?*")&gt;0," Name entered neither as an Individual nor as a Team member. See 'x' at side.","")</f>
        <v/>
      </c>
    </row>
  </sheetData>
  <sheetProtection algorithmName="SHA-512" hashValue="AXED5PaLA6C8KCtcRw4dcRvpzLX1o+Fb12D6L1kIQ4SCFazFqgSlnXH4Z1QRUZtzL6Fq0Hem76WA6Z7akH/0eg==" saltValue="tBmIk9qQCmIEtKPn+ZyFYg=="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33" xr:uid="{C658888F-316E-4287-8699-C97DCD07BF50}">
      <formula1>1</formula1>
      <formula2>200</formula2>
    </dataValidation>
    <dataValidation type="custom" allowBlank="1" showInputMessage="1" showErrorMessage="1" errorTitle="Data Error" error="Enter 'x' or 'X' for Individual entrants." sqref="D9:D33" xr:uid="{10A17E71-B537-44DE-91F4-395F19EC037A}">
      <formula1>OR(EXACT(D9,"x"),EXACT(D9,"X"))</formula1>
    </dataValidation>
    <dataValidation type="custom" allowBlank="1" showInputMessage="1" showErrorMessage="1" errorTitle="Data error" error="Team letters must be one-charcater alphabetic." sqref="F9:F33" xr:uid="{CC61AE7C-D7AD-491B-9A3C-3238B08BC5A6}">
      <formula1>AND(LEN(F9)=1,ISTEXT(F9))</formula1>
    </dataValidation>
    <dataValidation type="custom" allowBlank="1" showInputMessage="1" showErrorMessage="1" errorTitle="Data error" error="error" sqref="K9" xr:uid="{26AD96A1-4529-493B-8916-008DF035CD2B}">
      <formula1>AND(LEN(F9)=1,ISTEXT(F9))</formula1>
    </dataValidation>
    <dataValidation type="custom" allowBlank="1" showInputMessage="1" showErrorMessage="1" errorTitle="Data error" error="Enter 'J' or  S' (upper or lower case) to make an entry to the Junior or Senior competition." sqref="E9:E33" xr:uid="{EDE01F46-8FAD-4276-A17B-58730E8D07E1}">
      <formula1>OR(E9="J",E9="J",E9="s",E9="S")</formula1>
    </dataValidation>
  </dataValidations>
  <hyperlinks>
    <hyperlink ref="B4" location="summsrbra" display="Go to Summary sheet" xr:uid="{D41BDD40-F5ED-4E3E-8C0F-A8F20D1960CB}"/>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B50A0-2FD1-4C7E-BA2B-C4F6F1144D7E}">
  <sheetPr codeName="Sheet59">
    <tabColor rgb="FFC65911"/>
  </sheetPr>
  <dimension ref="A1:G39"/>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IF(COUNTIFS(srbrrerrs,"?*")&gt;0,"Errors on the sheet, please see below the table","")</f>
        <v/>
      </c>
    </row>
    <row r="5" spans="1:7" x14ac:dyDescent="0.25">
      <c r="A5" s="9"/>
      <c r="B5" s="69" t="s">
        <v>40</v>
      </c>
      <c r="C5" s="9"/>
      <c r="D5" s="9"/>
    </row>
    <row r="6" spans="1:7" ht="18.75" thickBot="1" x14ac:dyDescent="0.3">
      <c r="A6" s="10"/>
      <c r="B6" s="207" t="s">
        <v>107</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33"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x14ac:dyDescent="0.25">
      <c r="A28" s="89">
        <v>20</v>
      </c>
      <c r="B28" s="51"/>
      <c r="C28" s="19"/>
      <c r="D28" s="20"/>
      <c r="E28" s="20"/>
      <c r="F28" s="52"/>
      <c r="G28" s="68" t="str">
        <f t="shared" si="0"/>
        <v/>
      </c>
    </row>
    <row r="29" spans="1:7" ht="15" customHeight="1" x14ac:dyDescent="0.25">
      <c r="A29" s="89">
        <v>21</v>
      </c>
      <c r="B29" s="51"/>
      <c r="C29" s="19"/>
      <c r="D29" s="20"/>
      <c r="E29" s="20"/>
      <c r="F29" s="52"/>
      <c r="G29" s="68" t="str">
        <f t="shared" si="0"/>
        <v/>
      </c>
    </row>
    <row r="30" spans="1:7" ht="15" customHeight="1" x14ac:dyDescent="0.25">
      <c r="A30" s="89">
        <v>22</v>
      </c>
      <c r="B30" s="51"/>
      <c r="C30" s="19"/>
      <c r="D30" s="20"/>
      <c r="E30" s="20"/>
      <c r="F30" s="52"/>
      <c r="G30" s="68" t="str">
        <f t="shared" si="0"/>
        <v/>
      </c>
    </row>
    <row r="31" spans="1:7" ht="15" customHeight="1" x14ac:dyDescent="0.25">
      <c r="A31" s="89">
        <v>23</v>
      </c>
      <c r="B31" s="51"/>
      <c r="C31" s="19"/>
      <c r="D31" s="20"/>
      <c r="E31" s="20"/>
      <c r="F31" s="52"/>
      <c r="G31" s="68" t="str">
        <f t="shared" si="0"/>
        <v/>
      </c>
    </row>
    <row r="32" spans="1:7" ht="15" customHeight="1" x14ac:dyDescent="0.25">
      <c r="A32" s="89">
        <v>24</v>
      </c>
      <c r="B32" s="51"/>
      <c r="C32" s="19"/>
      <c r="D32" s="20"/>
      <c r="E32" s="20"/>
      <c r="F32" s="52"/>
      <c r="G32" s="68" t="str">
        <f t="shared" si="0"/>
        <v/>
      </c>
    </row>
    <row r="33" spans="1:7" ht="15" customHeight="1" thickBot="1" x14ac:dyDescent="0.3">
      <c r="A33" s="89">
        <v>25</v>
      </c>
      <c r="B33" s="55"/>
      <c r="C33" s="53"/>
      <c r="D33" s="56"/>
      <c r="E33" s="56"/>
      <c r="F33" s="54"/>
      <c r="G33" s="68" t="str">
        <f t="shared" si="0"/>
        <v/>
      </c>
    </row>
    <row r="34" spans="1:7" x14ac:dyDescent="0.25">
      <c r="B34" s="4" t="str">
        <f>IF(COUNTA(srbrrnms)&gt;COUNT(srbrravs)," There are more Names than Averages. Please check.","")</f>
        <v/>
      </c>
    </row>
    <row r="35" spans="1:7" x14ac:dyDescent="0.25">
      <c r="B35" s="4" t="str">
        <f>IF(COUNTA(srbrrnms)&lt;COUNT(srbrravs)," There are more Averages than Names. Please check.","")</f>
        <v/>
      </c>
    </row>
    <row r="36" spans="1:7" x14ac:dyDescent="0.25">
      <c r="B36" s="4" t="str">
        <f>IF(AND(COUNTA(srbrrtms)&gt;0,MOD(COUNTA(srbrrtms),3)&lt;&gt;0)," The number of team letters must be a multiple of 3.","")</f>
        <v/>
      </c>
    </row>
    <row r="37" spans="1:7" x14ac:dyDescent="0.25">
      <c r="B37" s="4" t="str">
        <f>IF(COUNTA(srbrrjs)&gt;COUNTA(srbrrinds)," There are more Juns/Sens than the number of individual entrants","")</f>
        <v/>
      </c>
    </row>
    <row r="38" spans="1:7" x14ac:dyDescent="0.25">
      <c r="B38" s="4" t="str">
        <f>IF(COUNTA(srbrrtms)&gt;COUNTA(srbrrnms)," There are more team letters than potential  team members.","")</f>
        <v/>
      </c>
    </row>
    <row r="39" spans="1:7" x14ac:dyDescent="0.25">
      <c r="B39" s="4" t="str">
        <f>IF(COUNTIFS(srbrrchk,"?*")&gt;0," Name entered neither as an Individual nor as a Team member. See 'x' at side.","")</f>
        <v/>
      </c>
    </row>
  </sheetData>
  <sheetProtection algorithmName="SHA-512" hashValue="aWlwp+obOkDE2UU5GwqOX2rBRqpcl8yYTXcyDojU3fnhJdT63TuIcmLhMJqzVOPqCiB9n6Jejm6D5E0d73DUnw==" saltValue="TyIZiDQZEiL3YIXJi4k7IA=="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33" xr:uid="{F7DB7832-8B39-42FC-AA6E-B8650866C7CB}">
      <formula1>1</formula1>
      <formula2>200</formula2>
    </dataValidation>
    <dataValidation type="custom" allowBlank="1" showInputMessage="1" showErrorMessage="1" errorTitle="Data Error" error="Enter 'x' or 'X' for Individual entrants." sqref="D9:D33" xr:uid="{AFAB917C-48CA-42EF-B58A-EE5F1B17784E}">
      <formula1>OR(EXACT(D9,"x"),EXACT(D9,"X"))</formula1>
    </dataValidation>
    <dataValidation type="custom" allowBlank="1" showInputMessage="1" showErrorMessage="1" errorTitle="Data error" error="Team letters must be one-charcater alphabetic." sqref="F9:F33" xr:uid="{AFF2D403-FBC9-42A1-B827-FB1D20A926D1}">
      <formula1>AND(LEN(F9)=1,ISTEXT(F9))</formula1>
    </dataValidation>
    <dataValidation type="custom" allowBlank="1" showInputMessage="1" showErrorMessage="1" errorTitle="Data error" error="error" sqref="K9" xr:uid="{CBB314CF-DCB3-4BB2-A59B-77A51B4DB250}">
      <formula1>AND(LEN(F9)=1,ISTEXT(F9))</formula1>
    </dataValidation>
    <dataValidation type="custom" allowBlank="1" showInputMessage="1" showErrorMessage="1" errorTitle="Data error" error="Enter 'J' or  S' (upper or lower case) to make an entry to the Junior or Senior competition." sqref="E9:E33" xr:uid="{55A79250-509A-4996-A1B4-9F107332B3F0}">
      <formula1>OR(E9="J",E9="J",E9="s",E9="S")</formula1>
    </dataValidation>
  </dataValidations>
  <hyperlinks>
    <hyperlink ref="B4" location="summsrbrr" display="Go to Summary sheet" xr:uid="{C333FED6-DF7D-4A93-893B-3DE76FD8E3CC}"/>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34260-A12E-4828-B73D-9BD982A4C0CC}">
  <sheetPr codeName="Sheet12">
    <tabColor rgb="FFD9E1F2"/>
  </sheetPr>
  <dimension ref="A1:F3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IF(COUNTIFS(graerrs,"?*")&gt;0,"Errors on the sheet, please see below the table","")</f>
        <v/>
      </c>
      <c r="D4" s="80"/>
    </row>
    <row r="5" spans="1:6" x14ac:dyDescent="0.25">
      <c r="A5" s="9"/>
      <c r="B5" s="69" t="s">
        <v>42</v>
      </c>
      <c r="C5" s="9"/>
      <c r="D5" s="9"/>
    </row>
    <row r="6" spans="1:6" ht="18.75" thickBot="1" x14ac:dyDescent="0.3">
      <c r="A6" s="10"/>
      <c r="B6" s="207" t="s">
        <v>100</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x14ac:dyDescent="0.25">
      <c r="A23" s="89">
        <v>15</v>
      </c>
      <c r="B23" s="83"/>
      <c r="C23" s="84"/>
      <c r="D23" s="85"/>
      <c r="E23" s="13"/>
    </row>
    <row r="24" spans="1:5" ht="15" customHeight="1" x14ac:dyDescent="0.25">
      <c r="A24" s="89">
        <v>16</v>
      </c>
      <c r="B24" s="83"/>
      <c r="C24" s="84"/>
      <c r="D24" s="85"/>
      <c r="E24" s="13"/>
    </row>
    <row r="25" spans="1:5" ht="15" customHeight="1" x14ac:dyDescent="0.25">
      <c r="A25" s="89">
        <v>17</v>
      </c>
      <c r="B25" s="83"/>
      <c r="C25" s="84"/>
      <c r="D25" s="85"/>
      <c r="E25" s="13"/>
    </row>
    <row r="26" spans="1:5" ht="15" customHeight="1" x14ac:dyDescent="0.25">
      <c r="A26" s="89">
        <v>18</v>
      </c>
      <c r="B26" s="83"/>
      <c r="C26" s="84"/>
      <c r="D26" s="85"/>
      <c r="E26" s="13"/>
    </row>
    <row r="27" spans="1:5" ht="15" customHeight="1" x14ac:dyDescent="0.25">
      <c r="A27" s="89">
        <v>19</v>
      </c>
      <c r="B27" s="83"/>
      <c r="C27" s="84"/>
      <c r="D27" s="85"/>
      <c r="E27" s="13"/>
    </row>
    <row r="28" spans="1:5" ht="15" customHeight="1" thickBot="1" x14ac:dyDescent="0.3">
      <c r="A28" s="89">
        <v>20</v>
      </c>
      <c r="B28" s="66"/>
      <c r="C28" s="53"/>
      <c r="D28" s="65"/>
      <c r="E28" s="13"/>
    </row>
    <row r="29" spans="1:5" x14ac:dyDescent="0.25">
      <c r="A29" s="9"/>
      <c r="B29" s="4" t="str">
        <f>IF(COUNTA(granms)&lt;&gt;COUNT(graavs)," Mismatch between number of Names and number of Averages. Please check.","")</f>
        <v/>
      </c>
      <c r="C29" s="12"/>
      <c r="D29" s="12"/>
    </row>
    <row r="30" spans="1:5" x14ac:dyDescent="0.25">
      <c r="B30" s="4" t="str">
        <f>IF(COUNTA(grajs)&gt;COUNTA(granms)," There are more Juns/Sens than the total number of entrants","")</f>
        <v/>
      </c>
    </row>
    <row r="31" spans="1:5" x14ac:dyDescent="0.25">
      <c r="B31" s="4"/>
    </row>
  </sheetData>
  <sheetProtection algorithmName="SHA-512" hashValue="yCRqZ01dYHtTWENjTp2ZrLS1w5bVkGFB0an2qJu2FE5cyQPmqKKlbfn+mQSTy7ktw3sLgNxnO55KJbJufQxrmw==" saltValue="YEUu5FWsaIzl3rlcn3lRaw=="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28" xr:uid="{E2FCE105-2ACE-4654-BCE9-4C607E527B9F}">
      <formula1>1</formula1>
      <formula2>200</formula2>
    </dataValidation>
    <dataValidation type="custom" allowBlank="1" showInputMessage="1" showErrorMessage="1" errorTitle="Data error" error="Enter J or S (upper or lower case) to make an entry in the Junior or Senior competition." sqref="D9:D28" xr:uid="{69DAAFB6-8444-4A57-A49A-CEC3487E2DE1}">
      <formula1>OR(D9="J",D9="J",D9="s",D9="S")</formula1>
    </dataValidation>
  </dataValidations>
  <hyperlinks>
    <hyperlink ref="B4" location="summgra" display="Go to Summary sheet" xr:uid="{D463E15A-E85B-44FE-8F4A-5955A62AB740}"/>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4944E-60D4-45EF-A4B3-5B1C5BE917AC}">
  <sheetPr codeName="Sheet16">
    <tabColor rgb="FFD9E1F2"/>
  </sheetPr>
  <dimension ref="A1:F3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IF(COUNTIFS(grierrs,"?*")&gt;0,"Errors on the sheet, please see below the table","")</f>
        <v/>
      </c>
      <c r="D4" s="80"/>
    </row>
    <row r="5" spans="1:6" x14ac:dyDescent="0.25">
      <c r="A5" s="9"/>
      <c r="B5" s="69" t="s">
        <v>42</v>
      </c>
      <c r="C5" s="9"/>
      <c r="D5" s="9"/>
    </row>
    <row r="6" spans="1:6" ht="18.75" thickBot="1" x14ac:dyDescent="0.3">
      <c r="A6" s="10"/>
      <c r="B6" s="207" t="s">
        <v>101</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x14ac:dyDescent="0.25">
      <c r="A23" s="89">
        <v>15</v>
      </c>
      <c r="B23" s="83"/>
      <c r="C23" s="84"/>
      <c r="D23" s="85"/>
      <c r="E23" s="13"/>
    </row>
    <row r="24" spans="1:5" ht="15" customHeight="1" x14ac:dyDescent="0.25">
      <c r="A24" s="89">
        <v>16</v>
      </c>
      <c r="B24" s="83"/>
      <c r="C24" s="84"/>
      <c r="D24" s="85"/>
      <c r="E24" s="13"/>
    </row>
    <row r="25" spans="1:5" ht="15" customHeight="1" x14ac:dyDescent="0.25">
      <c r="A25" s="89">
        <v>17</v>
      </c>
      <c r="B25" s="83"/>
      <c r="C25" s="84"/>
      <c r="D25" s="85"/>
      <c r="E25" s="13"/>
    </row>
    <row r="26" spans="1:5" ht="15" customHeight="1" x14ac:dyDescent="0.25">
      <c r="A26" s="89">
        <v>18</v>
      </c>
      <c r="B26" s="83"/>
      <c r="C26" s="84"/>
      <c r="D26" s="85"/>
      <c r="E26" s="13"/>
    </row>
    <row r="27" spans="1:5" ht="15" customHeight="1" x14ac:dyDescent="0.25">
      <c r="A27" s="89">
        <v>19</v>
      </c>
      <c r="B27" s="83"/>
      <c r="C27" s="84"/>
      <c r="D27" s="85"/>
      <c r="E27" s="13"/>
    </row>
    <row r="28" spans="1:5" ht="15" customHeight="1" thickBot="1" x14ac:dyDescent="0.3">
      <c r="A28" s="89">
        <v>20</v>
      </c>
      <c r="B28" s="66"/>
      <c r="C28" s="53"/>
      <c r="D28" s="65"/>
      <c r="E28" s="13"/>
    </row>
    <row r="29" spans="1:5" x14ac:dyDescent="0.25">
      <c r="A29" s="9"/>
      <c r="B29" s="4" t="str">
        <f>IF(COUNTA(grinms)&lt;&gt;COUNT(griavs)," Mismatch between number of Names and number of Averages. Please check.","")</f>
        <v/>
      </c>
      <c r="C29" s="12"/>
      <c r="D29" s="12"/>
    </row>
    <row r="30" spans="1:5" x14ac:dyDescent="0.25">
      <c r="B30" s="4" t="str">
        <f>IF(COUNTA(grijs)&gt;COUNTA(grinms)," There are more Juns/Sens than the total number of entrants","")</f>
        <v/>
      </c>
    </row>
    <row r="31" spans="1:5" x14ac:dyDescent="0.25">
      <c r="B31" s="4"/>
    </row>
  </sheetData>
  <sheetProtection algorithmName="SHA-512" hashValue="dMo0rgGRHAXNsDMc6o84DwpyhxqPHhliL6Gu0XyofIDixOnADAXuNnsR0wEshabUnPjXx34/XJcpoSSwoculWg==" saltValue="PHyWnKhpNdaEomonyRvcQA=="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28" xr:uid="{4D0E020B-89CF-4FC0-A6CC-E69C65141D29}">
      <formula1>1</formula1>
      <formula2>200</formula2>
    </dataValidation>
    <dataValidation type="custom" allowBlank="1" showInputMessage="1" showErrorMessage="1" errorTitle="Data error" error="Enter J or S (upper or lower case) to make an entry in the Junior or Senior competition." sqref="D9:D28" xr:uid="{F37E2286-4FA7-4EAE-AB5A-9011D4BE13F7}">
      <formula1>OR(D9="J",D9="J",D9="s",D9="S")</formula1>
    </dataValidation>
  </dataValidations>
  <hyperlinks>
    <hyperlink ref="B4" location="summgri" display="Go to Summary sheet" xr:uid="{68EE2CED-2154-408E-A23F-7795E342F6FC}"/>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A9D46-FCE9-4C80-A25E-392FBA044C45}">
  <sheetPr codeName="Sheet21">
    <tabColor rgb="FF8EA9DB"/>
  </sheetPr>
  <dimension ref="A1:F2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IF(COUNTIFS(lbraerrs,"?*")&gt;0,"Errors on the sheet, please see below the table","")</f>
        <v/>
      </c>
      <c r="D4" s="80"/>
    </row>
    <row r="5" spans="1:6" x14ac:dyDescent="0.25">
      <c r="A5" s="9"/>
      <c r="B5" s="69" t="s">
        <v>42</v>
      </c>
      <c r="C5" s="9"/>
      <c r="D5" s="9"/>
    </row>
    <row r="6" spans="1:6" ht="18.75" thickBot="1" x14ac:dyDescent="0.3">
      <c r="A6" s="10"/>
      <c r="B6" s="207" t="s">
        <v>90</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thickBot="1" x14ac:dyDescent="0.3">
      <c r="A18" s="89">
        <v>10</v>
      </c>
      <c r="B18" s="66"/>
      <c r="C18" s="53"/>
      <c r="D18" s="65"/>
      <c r="E18" s="13"/>
    </row>
    <row r="19" spans="1:5" x14ac:dyDescent="0.25">
      <c r="A19" s="9"/>
      <c r="B19" s="4" t="str">
        <f>IF(COUNTA(lbranms)&lt;&gt;COUNT(lbraavs)," Mismatch between number of Names and number of Averages. Please check.","")</f>
        <v/>
      </c>
      <c r="C19" s="12"/>
      <c r="D19" s="12"/>
    </row>
    <row r="20" spans="1:5" x14ac:dyDescent="0.25">
      <c r="B20" s="4" t="str">
        <f>IF(COUNTA(lbrajs)&gt;COUNTA(lbranms)," There are more Juns/Sens than the total number of entrants","")</f>
        <v/>
      </c>
    </row>
    <row r="21" spans="1:5" x14ac:dyDescent="0.25">
      <c r="B21" s="4"/>
    </row>
  </sheetData>
  <sheetProtection algorithmName="SHA-512" hashValue="FSBOxqtsDMcDlaf5WZNOfjOic+Pizewe/MpSmVwmBg+EarnjtOIc0BNblRLdLbp/IGSDCS0lH2AXiad9MCMAOg==" saltValue="nur18LL94ZCsj2/YWXZlTg=="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18" xr:uid="{14DAC80B-733E-4C76-8992-92FC2E5E1B1E}">
      <formula1>1</formula1>
      <formula2>200</formula2>
    </dataValidation>
    <dataValidation type="custom" allowBlank="1" showInputMessage="1" showErrorMessage="1" errorTitle="Data error" error="Enter J or S (upper or lower case) to make an entry in the Junior or Senior competition." sqref="D9:D18" xr:uid="{2FACAAAB-8742-47F5-81CA-312F841BEEC3}">
      <formula1>OR(D9="J",D9="J",D9="s",D9="S")</formula1>
    </dataValidation>
  </dataValidations>
  <hyperlinks>
    <hyperlink ref="B4" location="summlbra" display="Go to Summary sheet" xr:uid="{08E19E55-61A8-4D9A-8383-90A4D11E3939}"/>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DDB04-7C36-4622-8832-F554EFEEB866}">
  <sheetPr codeName="Sheet22">
    <tabColor rgb="FF8EA9DB"/>
  </sheetPr>
  <dimension ref="A1:F2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IF(COUNTIFS(lbrierrs,"?*")&gt;0,"Errors on the sheet, please see below the table","")</f>
        <v/>
      </c>
      <c r="D4" s="80"/>
    </row>
    <row r="5" spans="1:6" x14ac:dyDescent="0.25">
      <c r="A5" s="9"/>
      <c r="B5" s="69" t="s">
        <v>42</v>
      </c>
      <c r="C5" s="9"/>
      <c r="D5" s="9"/>
    </row>
    <row r="6" spans="1:6" ht="18.75" thickBot="1" x14ac:dyDescent="0.3">
      <c r="A6" s="10"/>
      <c r="B6" s="207" t="s">
        <v>91</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thickBot="1" x14ac:dyDescent="0.3">
      <c r="A18" s="89">
        <v>10</v>
      </c>
      <c r="B18" s="66"/>
      <c r="C18" s="53"/>
      <c r="D18" s="65"/>
      <c r="E18" s="13"/>
    </row>
    <row r="19" spans="1:5" x14ac:dyDescent="0.25">
      <c r="A19" s="9"/>
      <c r="B19" s="4" t="str">
        <f>IF(COUNTA(lbrinms)&lt;&gt;COUNT(lbriavs)," Mismatch between number of Names and number of Averages. Please check.","")</f>
        <v/>
      </c>
      <c r="C19" s="12"/>
      <c r="D19" s="12"/>
    </row>
    <row r="20" spans="1:5" x14ac:dyDescent="0.25">
      <c r="B20" s="4" t="str">
        <f>IF(COUNTA(lbrijs)&gt;COUNTA(lbrinms)," There are more Juns/Sens than the total number of entrants","")</f>
        <v/>
      </c>
    </row>
    <row r="21" spans="1:5" x14ac:dyDescent="0.25">
      <c r="B21" s="4"/>
    </row>
  </sheetData>
  <sheetProtection algorithmName="SHA-512" hashValue="SiICj2n69FvApzvbA1riIaMMwgKD8tdvpsEEc86vir0O/X8tZ+R1rDH+YD4lHp1oPW+sSRrvYuR8cdTwqvhYSg==" saltValue="z5O0avNcqdgEPE+Y9SgRqw=="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18" xr:uid="{8F240FCA-3A8C-4779-B405-2C81DE517E1C}">
      <formula1>1</formula1>
      <formula2>200</formula2>
    </dataValidation>
    <dataValidation type="custom" allowBlank="1" showInputMessage="1" showErrorMessage="1" errorTitle="Data error" error="Enter J or S (upper or lower case) to make an entry in the Junior or Senior competition." sqref="D9:D18" xr:uid="{AC86FA55-FAF1-4B21-ACFB-A0BD723EC984}">
      <formula1>OR(D9="J",D9="J",D9="s",D9="S")</formula1>
    </dataValidation>
  </dataValidations>
  <hyperlinks>
    <hyperlink ref="B4" location="summlbri" display="Go to Summary sheet" xr:uid="{E4623BAB-C929-4B47-8A62-EA1CFC0C03A9}"/>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D81AC-8276-4EC2-A139-6D55B339D59B}">
  <sheetPr codeName="Sheet17">
    <tabColor rgb="FFFCE4D6"/>
  </sheetPr>
  <dimension ref="A1:F3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IF(COUNTIFS(lbperrs,"?*")&gt;0,"Errors on the sheet, please see below the table","")</f>
        <v/>
      </c>
      <c r="D4" s="80"/>
    </row>
    <row r="5" spans="1:6" x14ac:dyDescent="0.25">
      <c r="A5" s="9"/>
      <c r="B5" s="69" t="s">
        <v>42</v>
      </c>
      <c r="C5" s="9"/>
      <c r="D5" s="9"/>
    </row>
    <row r="6" spans="1:6" ht="18.75" thickBot="1" x14ac:dyDescent="0.3">
      <c r="A6" s="10"/>
      <c r="B6" s="207" t="s">
        <v>69</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x14ac:dyDescent="0.25">
      <c r="A23" s="89">
        <v>15</v>
      </c>
      <c r="B23" s="83"/>
      <c r="C23" s="84"/>
      <c r="D23" s="85"/>
      <c r="E23" s="13"/>
    </row>
    <row r="24" spans="1:5" ht="15" customHeight="1" x14ac:dyDescent="0.25">
      <c r="A24" s="89">
        <v>16</v>
      </c>
      <c r="B24" s="83"/>
      <c r="C24" s="84"/>
      <c r="D24" s="85"/>
      <c r="E24" s="13"/>
    </row>
    <row r="25" spans="1:5" ht="15" customHeight="1" x14ac:dyDescent="0.25">
      <c r="A25" s="89">
        <v>17</v>
      </c>
      <c r="B25" s="83"/>
      <c r="C25" s="84"/>
      <c r="D25" s="85"/>
      <c r="E25" s="13"/>
    </row>
    <row r="26" spans="1:5" ht="15" customHeight="1" x14ac:dyDescent="0.25">
      <c r="A26" s="89">
        <v>18</v>
      </c>
      <c r="B26" s="83"/>
      <c r="C26" s="84"/>
      <c r="D26" s="85"/>
      <c r="E26" s="13"/>
    </row>
    <row r="27" spans="1:5" ht="15" customHeight="1" x14ac:dyDescent="0.25">
      <c r="A27" s="89">
        <v>19</v>
      </c>
      <c r="B27" s="83"/>
      <c r="C27" s="84"/>
      <c r="D27" s="85"/>
      <c r="E27" s="13"/>
    </row>
    <row r="28" spans="1:5" ht="15" customHeight="1" thickBot="1" x14ac:dyDescent="0.3">
      <c r="A28" s="89">
        <v>20</v>
      </c>
      <c r="B28" s="66"/>
      <c r="C28" s="53"/>
      <c r="D28" s="65"/>
      <c r="E28" s="13"/>
    </row>
    <row r="29" spans="1:5" x14ac:dyDescent="0.25">
      <c r="A29" s="9"/>
      <c r="B29" s="4" t="str">
        <f>IF(COUNTA(lbpnms)&lt;&gt;COUNT(lbpavs)," Mismatch between number of Names and number of Averages. Please check.","")</f>
        <v/>
      </c>
      <c r="C29" s="12"/>
      <c r="D29" s="12"/>
    </row>
    <row r="30" spans="1:5" x14ac:dyDescent="0.25">
      <c r="B30" s="4" t="str">
        <f>IF(COUNTA(lbpjs)&gt;COUNTA(lbpnms)," There are more Juns/Sens than the total number of entrants","")</f>
        <v/>
      </c>
    </row>
    <row r="31" spans="1:5" x14ac:dyDescent="0.25">
      <c r="B31" s="4"/>
    </row>
  </sheetData>
  <sheetProtection algorithmName="SHA-512" hashValue="o3iQFjWrsF4/Y+Eo2KHZG4AefAg4pBAhoyDv1gMF6JraeXtM0DtSMLDyA1osdK5CaCRa/VYFki0JpYvdyYmlyQ==" saltValue="IMKLoIOZjLwYqY4E7d+h2A=="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28" xr:uid="{15B60BFD-BE05-492F-BDEE-D109C383B7BD}">
      <formula1>1</formula1>
      <formula2>200</formula2>
    </dataValidation>
    <dataValidation type="custom" allowBlank="1" showInputMessage="1" showErrorMessage="1" errorTitle="Data error" error="Enter J or S (upper or lower case) to make an entry in the Junior or Senior competition." sqref="D9:D28" xr:uid="{05BE2245-7FC8-4064-AC65-3FF90740582A}">
      <formula1>OR(D9="J",D9="J",D9="s",D9="S")</formula1>
    </dataValidation>
  </dataValidations>
  <hyperlinks>
    <hyperlink ref="B4" location="summlbp" display="Go to Summary sheet" xr:uid="{90F07EFA-625E-464A-A86D-3F1D9EBC0C05}"/>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7C787-E5C2-4A45-BD4E-C1678668B052}">
  <sheetPr codeName="Sheet3">
    <tabColor rgb="FF660066"/>
    <pageSetUpPr fitToPage="1"/>
  </sheetPr>
  <dimension ref="A1:P50"/>
  <sheetViews>
    <sheetView showGridLines="0" showRowColHeaders="0" workbookViewId="0">
      <selection activeCell="N10" sqref="N10"/>
    </sheetView>
  </sheetViews>
  <sheetFormatPr defaultColWidth="9.140625" defaultRowHeight="14.25" x14ac:dyDescent="0.2"/>
  <cols>
    <col min="1" max="1" width="3.42578125" style="9" customWidth="1"/>
    <col min="2" max="2" width="8.28515625" style="16" customWidth="1"/>
    <col min="3" max="3" width="8.85546875" style="9" customWidth="1"/>
    <col min="4" max="4" width="6.85546875" style="9" customWidth="1"/>
    <col min="5" max="6" width="9.140625" style="9"/>
    <col min="7" max="7" width="9.7109375" style="9" customWidth="1"/>
    <col min="8" max="8" width="9.140625" style="9"/>
    <col min="9" max="9" width="4.7109375" style="9" customWidth="1"/>
    <col min="10" max="10" width="6.28515625" style="9" customWidth="1"/>
    <col min="11" max="11" width="9.140625" style="9"/>
    <col min="12" max="12" width="7.28515625" style="9" customWidth="1"/>
    <col min="13" max="13" width="9.140625" style="9" customWidth="1"/>
    <col min="14" max="14" width="8.42578125" style="9" customWidth="1"/>
    <col min="15" max="15" width="1.7109375" style="9" customWidth="1"/>
    <col min="16" max="16384" width="9.140625" style="9"/>
  </cols>
  <sheetData>
    <row r="1" spans="2:16" s="16" customFormat="1" ht="23.25" x14ac:dyDescent="0.35">
      <c r="B1" s="143" t="s">
        <v>8</v>
      </c>
      <c r="C1" s="143"/>
      <c r="D1" s="143"/>
      <c r="E1" s="143"/>
      <c r="F1" s="143"/>
      <c r="G1" s="143"/>
      <c r="H1" s="143"/>
      <c r="I1" s="143"/>
      <c r="J1" s="143"/>
      <c r="K1" s="143"/>
      <c r="L1" s="143"/>
      <c r="M1" s="143"/>
      <c r="N1" s="143"/>
      <c r="O1" s="143"/>
    </row>
    <row r="2" spans="2:16" s="16" customFormat="1" ht="23.25" x14ac:dyDescent="0.35">
      <c r="B2" s="142" t="s">
        <v>126</v>
      </c>
      <c r="C2" s="142"/>
      <c r="D2" s="142"/>
      <c r="E2" s="142"/>
      <c r="F2" s="142"/>
      <c r="G2" s="142"/>
      <c r="H2" s="142"/>
      <c r="I2" s="142"/>
      <c r="J2" s="142"/>
      <c r="K2" s="142"/>
      <c r="L2" s="142"/>
      <c r="M2" s="142"/>
      <c r="N2" s="142"/>
      <c r="O2" s="142"/>
    </row>
    <row r="3" spans="2:16" ht="18" x14ac:dyDescent="0.2">
      <c r="B3" s="141" t="s">
        <v>125</v>
      </c>
      <c r="C3" s="141"/>
      <c r="D3" s="141"/>
      <c r="E3" s="141"/>
      <c r="F3" s="141"/>
      <c r="G3" s="141"/>
      <c r="H3" s="141"/>
      <c r="I3" s="141"/>
      <c r="J3" s="141"/>
      <c r="K3" s="141"/>
      <c r="L3" s="141"/>
      <c r="M3" s="141"/>
      <c r="N3" s="141"/>
      <c r="O3" s="141"/>
    </row>
    <row r="4" spans="2:16" ht="18" x14ac:dyDescent="0.2">
      <c r="B4" s="141" t="s">
        <v>54</v>
      </c>
      <c r="C4" s="141"/>
      <c r="D4" s="141"/>
      <c r="E4" s="141"/>
      <c r="F4" s="141"/>
      <c r="G4" s="141"/>
      <c r="H4" s="141"/>
      <c r="I4" s="141"/>
      <c r="J4" s="141"/>
      <c r="K4" s="141"/>
      <c r="L4" s="141"/>
      <c r="M4" s="141"/>
      <c r="N4" s="141"/>
      <c r="O4" s="141"/>
    </row>
    <row r="5" spans="2:16" x14ac:dyDescent="0.2">
      <c r="B5" s="14"/>
    </row>
    <row r="6" spans="2:16" ht="8.25" customHeight="1" thickBot="1" x14ac:dyDescent="0.25">
      <c r="B6" s="15"/>
    </row>
    <row r="7" spans="2:16" ht="35.25" customHeight="1" thickBot="1" x14ac:dyDescent="0.25">
      <c r="B7" s="167" t="s">
        <v>72</v>
      </c>
      <c r="C7" s="168"/>
      <c r="D7" s="168"/>
      <c r="E7" s="168"/>
      <c r="F7" s="168"/>
      <c r="G7" s="168"/>
      <c r="H7" s="168"/>
      <c r="I7" s="168"/>
      <c r="J7" s="168"/>
      <c r="K7" s="168"/>
      <c r="L7" s="168"/>
      <c r="M7" s="168"/>
      <c r="N7" s="168"/>
      <c r="O7" s="169"/>
      <c r="P7" s="64"/>
    </row>
    <row r="8" spans="2:16" ht="9.75" customHeight="1" thickBot="1" x14ac:dyDescent="0.25">
      <c r="B8" s="99"/>
      <c r="C8" s="99"/>
      <c r="D8" s="99"/>
      <c r="E8" s="99"/>
      <c r="F8" s="99"/>
      <c r="G8" s="99"/>
      <c r="H8" s="99"/>
      <c r="I8" s="99"/>
      <c r="J8" s="99"/>
      <c r="K8" s="99"/>
      <c r="L8" s="99"/>
      <c r="M8" s="99"/>
      <c r="N8" s="99"/>
      <c r="P8" s="64"/>
    </row>
    <row r="9" spans="2:16" ht="50.25" customHeight="1" thickTop="1" thickBot="1" x14ac:dyDescent="0.25">
      <c r="B9" s="144" t="s">
        <v>121</v>
      </c>
      <c r="C9" s="145"/>
      <c r="D9" s="145"/>
      <c r="E9" s="145"/>
      <c r="F9" s="145"/>
      <c r="G9" s="145"/>
      <c r="H9" s="145"/>
      <c r="I9" s="145"/>
      <c r="J9" s="145"/>
      <c r="K9" s="145"/>
      <c r="L9" s="145"/>
      <c r="M9" s="145"/>
      <c r="N9" s="145"/>
      <c r="O9" s="92"/>
    </row>
    <row r="10" spans="2:16" ht="33" customHeight="1" thickBot="1" x14ac:dyDescent="0.25">
      <c r="B10" s="159" t="s">
        <v>124</v>
      </c>
      <c r="C10" s="139"/>
      <c r="D10" s="139"/>
      <c r="E10" s="139"/>
      <c r="F10" s="139"/>
      <c r="G10" s="139"/>
      <c r="H10" s="139"/>
      <c r="I10" s="139"/>
      <c r="J10" s="139"/>
      <c r="K10" s="139"/>
      <c r="L10" s="139"/>
      <c r="M10" s="139"/>
      <c r="N10" s="126"/>
      <c r="O10" s="93"/>
    </row>
    <row r="11" spans="2:16" ht="9" customHeight="1" x14ac:dyDescent="0.2">
      <c r="B11" s="94"/>
      <c r="H11" s="90"/>
      <c r="O11" s="93"/>
    </row>
    <row r="12" spans="2:16" ht="18" customHeight="1" x14ac:dyDescent="0.2">
      <c r="B12" s="106" t="s">
        <v>61</v>
      </c>
      <c r="C12" s="160"/>
      <c r="D12" s="161"/>
      <c r="E12" s="161"/>
      <c r="F12" s="161"/>
      <c r="G12" s="162"/>
      <c r="H12" s="111" t="s">
        <v>77</v>
      </c>
      <c r="I12" s="158" t="s">
        <v>63</v>
      </c>
      <c r="J12" s="158"/>
      <c r="K12" s="158"/>
      <c r="L12" s="136"/>
      <c r="M12" s="137"/>
      <c r="N12" s="138"/>
      <c r="O12" s="93"/>
    </row>
    <row r="13" spans="2:16" ht="9" customHeight="1" x14ac:dyDescent="0.2">
      <c r="B13" s="95"/>
      <c r="L13" s="91"/>
      <c r="O13" s="93"/>
    </row>
    <row r="14" spans="2:16" ht="18" customHeight="1" x14ac:dyDescent="0.2">
      <c r="B14" s="107" t="s">
        <v>13</v>
      </c>
      <c r="C14" s="176"/>
      <c r="D14" s="177"/>
      <c r="E14" s="110" t="s">
        <v>78</v>
      </c>
      <c r="O14" s="93"/>
    </row>
    <row r="15" spans="2:16" ht="11.25" customHeight="1" thickBot="1" x14ac:dyDescent="0.25">
      <c r="B15" s="96"/>
      <c r="C15" s="97"/>
      <c r="D15" s="97"/>
      <c r="E15" s="97"/>
      <c r="F15" s="97"/>
      <c r="G15" s="97"/>
      <c r="H15" s="97"/>
      <c r="I15" s="97"/>
      <c r="J15" s="97"/>
      <c r="K15" s="97"/>
      <c r="L15" s="97"/>
      <c r="M15" s="97"/>
      <c r="N15" s="97"/>
      <c r="O15" s="98"/>
    </row>
    <row r="16" spans="2:16" ht="24" customHeight="1" thickTop="1" x14ac:dyDescent="0.25">
      <c r="B16" s="101" t="s">
        <v>62</v>
      </c>
      <c r="H16" s="4" t="str">
        <f>IF(COUNTIFS(Summary!B10:L60,"Errors on the sheet, please fix")&gt;0,"Validation errors exist in this file: see Summary sheet","")</f>
        <v/>
      </c>
    </row>
    <row r="17" spans="2:15" x14ac:dyDescent="0.2">
      <c r="B17" s="17"/>
    </row>
    <row r="18" spans="2:15" ht="18" customHeight="1" x14ac:dyDescent="0.2">
      <c r="B18" s="130" t="s">
        <v>12</v>
      </c>
      <c r="C18" s="131"/>
      <c r="D18" s="136" t="s">
        <v>120</v>
      </c>
      <c r="E18" s="137"/>
      <c r="F18" s="137"/>
      <c r="G18" s="138"/>
      <c r="H18" s="125" t="s">
        <v>127</v>
      </c>
    </row>
    <row r="19" spans="2:15" x14ac:dyDescent="0.2">
      <c r="B19" s="88"/>
    </row>
    <row r="20" spans="2:15" x14ac:dyDescent="0.2">
      <c r="B20" s="75" t="s">
        <v>60</v>
      </c>
      <c r="F20" s="16"/>
    </row>
    <row r="21" spans="2:15" ht="18" customHeight="1" x14ac:dyDescent="0.2">
      <c r="B21" s="123" t="s">
        <v>79</v>
      </c>
      <c r="C21" s="133"/>
      <c r="D21" s="134"/>
      <c r="E21" s="134"/>
      <c r="F21" s="134"/>
      <c r="G21" s="134"/>
      <c r="H21" s="134"/>
      <c r="I21" s="135"/>
    </row>
    <row r="22" spans="2:15" ht="18" customHeight="1" x14ac:dyDescent="0.2">
      <c r="B22" s="123" t="s">
        <v>80</v>
      </c>
      <c r="C22" s="133"/>
      <c r="D22" s="134"/>
      <c r="E22" s="134"/>
      <c r="F22" s="134"/>
      <c r="G22" s="134"/>
      <c r="H22" s="134"/>
      <c r="I22" s="135"/>
    </row>
    <row r="23" spans="2:15" ht="18" customHeight="1" x14ac:dyDescent="0.2">
      <c r="B23" s="123" t="s">
        <v>81</v>
      </c>
      <c r="C23" s="133"/>
      <c r="D23" s="134"/>
      <c r="E23" s="134"/>
      <c r="F23" s="134"/>
      <c r="G23" s="134"/>
      <c r="H23" s="134"/>
      <c r="I23" s="135"/>
    </row>
    <row r="24" spans="2:15" ht="18" customHeight="1" x14ac:dyDescent="0.2">
      <c r="B24" s="123" t="s">
        <v>82</v>
      </c>
      <c r="C24" s="133"/>
      <c r="D24" s="134"/>
      <c r="E24" s="134"/>
      <c r="F24" s="134"/>
      <c r="G24" s="134"/>
      <c r="H24" s="134"/>
      <c r="I24" s="135"/>
    </row>
    <row r="25" spans="2:15" ht="18" customHeight="1" x14ac:dyDescent="0.2">
      <c r="B25" s="123" t="s">
        <v>83</v>
      </c>
      <c r="C25" s="133"/>
      <c r="D25" s="134"/>
      <c r="E25" s="134"/>
      <c r="F25" s="135"/>
      <c r="G25" s="113" t="s">
        <v>14</v>
      </c>
      <c r="H25" s="178"/>
      <c r="I25" s="179"/>
    </row>
    <row r="26" spans="2:15" ht="15.75" customHeight="1" x14ac:dyDescent="0.2">
      <c r="B26" s="71" t="str">
        <f>IF(AND(MID(clubname,1,4)&lt;&gt;"your",name=""),"Enter your name and address above","")</f>
        <v/>
      </c>
      <c r="F26" s="71" t="str">
        <f>IF(AND(name&lt;&gt;"",MID(clubname,1,4)="your"),"Please enter your club's name above","")</f>
        <v/>
      </c>
    </row>
    <row r="27" spans="2:15" ht="18" customHeight="1" x14ac:dyDescent="0.2">
      <c r="B27" s="174" t="s">
        <v>86</v>
      </c>
      <c r="C27" s="175"/>
      <c r="D27" s="180"/>
      <c r="E27" s="181"/>
      <c r="F27" s="181"/>
      <c r="G27" s="181"/>
      <c r="H27" s="181"/>
      <c r="I27" s="182"/>
    </row>
    <row r="28" spans="2:15" ht="18" customHeight="1" x14ac:dyDescent="0.2">
      <c r="B28" s="174" t="s">
        <v>85</v>
      </c>
      <c r="C28" s="175"/>
      <c r="D28" s="136"/>
      <c r="E28" s="137"/>
      <c r="F28" s="137"/>
      <c r="G28" s="137"/>
      <c r="H28" s="137"/>
      <c r="I28" s="138"/>
    </row>
    <row r="29" spans="2:15" ht="20.25" customHeight="1" x14ac:dyDescent="0.2">
      <c r="B29" s="100" t="str">
        <f>IF(AND(name&lt;&gt;"",email1=""),"Please enter your email address","")</f>
        <v/>
      </c>
      <c r="D29" s="115" t="s">
        <v>84</v>
      </c>
    </row>
    <row r="30" spans="2:15" ht="27.75" customHeight="1" x14ac:dyDescent="0.2">
      <c r="B30" s="140" t="s">
        <v>64</v>
      </c>
      <c r="C30" s="140"/>
      <c r="D30" s="140"/>
      <c r="E30" s="140"/>
      <c r="F30" s="140"/>
      <c r="G30" s="140"/>
      <c r="H30" s="140"/>
      <c r="I30" s="140"/>
      <c r="J30" s="140"/>
      <c r="K30" s="140"/>
      <c r="L30" s="140"/>
      <c r="M30" s="140"/>
      <c r="N30" s="140"/>
      <c r="O30" s="140"/>
    </row>
    <row r="31" spans="2:15" ht="33.75" customHeight="1" x14ac:dyDescent="0.2">
      <c r="B31" s="139" t="s">
        <v>89</v>
      </c>
      <c r="C31" s="139"/>
      <c r="D31" s="139"/>
      <c r="E31" s="139"/>
      <c r="F31" s="139"/>
      <c r="G31" s="139"/>
      <c r="H31" s="139"/>
      <c r="I31" s="139"/>
      <c r="J31" s="139"/>
      <c r="K31" s="139"/>
      <c r="L31" s="139"/>
      <c r="M31" s="139"/>
      <c r="N31" s="139"/>
      <c r="O31" s="139"/>
    </row>
    <row r="32" spans="2:15" ht="6" customHeight="1" x14ac:dyDescent="0.2">
      <c r="B32" s="103"/>
      <c r="C32" s="103"/>
      <c r="D32" s="103"/>
      <c r="E32" s="103"/>
      <c r="F32" s="103"/>
      <c r="G32" s="103"/>
      <c r="H32" s="103"/>
      <c r="I32" s="103"/>
      <c r="J32" s="103"/>
      <c r="K32" s="103"/>
      <c r="L32" s="103"/>
      <c r="M32" s="103"/>
      <c r="N32" s="103"/>
    </row>
    <row r="33" spans="1:16" s="16" customFormat="1" ht="18" customHeight="1" x14ac:dyDescent="0.2">
      <c r="B33" s="130" t="s">
        <v>15</v>
      </c>
      <c r="C33" s="131"/>
      <c r="D33" s="136"/>
      <c r="E33" s="137"/>
      <c r="F33" s="137"/>
      <c r="G33" s="137"/>
      <c r="H33" s="138"/>
      <c r="I33" s="114" t="s">
        <v>87</v>
      </c>
      <c r="J33" s="112"/>
      <c r="K33" s="136"/>
      <c r="L33" s="137"/>
      <c r="M33" s="137"/>
      <c r="N33" s="137"/>
      <c r="O33" s="138"/>
    </row>
    <row r="34" spans="1:16" s="16" customFormat="1" ht="9.75" customHeight="1" x14ac:dyDescent="0.2">
      <c r="B34" s="75"/>
      <c r="D34" s="9"/>
      <c r="E34" s="9"/>
      <c r="F34" s="9"/>
      <c r="G34" s="9"/>
      <c r="H34" s="9"/>
      <c r="I34" s="9"/>
      <c r="J34" s="9"/>
      <c r="K34" s="9"/>
      <c r="L34" s="9"/>
      <c r="M34" s="9"/>
      <c r="N34" s="9"/>
    </row>
    <row r="35" spans="1:16" ht="18.75" customHeight="1" thickBot="1" x14ac:dyDescent="0.25">
      <c r="B35" s="132" t="s">
        <v>68</v>
      </c>
      <c r="C35" s="132"/>
      <c r="D35" s="132"/>
      <c r="E35" s="132"/>
      <c r="F35" s="132"/>
      <c r="G35" s="132"/>
      <c r="H35" s="132"/>
      <c r="I35" s="132"/>
      <c r="J35" s="132"/>
      <c r="K35" s="132"/>
      <c r="L35" s="132"/>
      <c r="M35" s="132"/>
      <c r="N35" s="132"/>
      <c r="O35" s="132"/>
    </row>
    <row r="36" spans="1:16" ht="16.5" customHeight="1" thickBot="1" x14ac:dyDescent="0.3">
      <c r="B36" s="9"/>
      <c r="D36" s="155" t="s">
        <v>111</v>
      </c>
      <c r="E36" s="156"/>
      <c r="F36" s="156"/>
      <c r="G36" s="156"/>
      <c r="H36" s="156"/>
      <c r="I36" s="156"/>
      <c r="J36" s="156"/>
      <c r="K36" s="156"/>
      <c r="L36" s="157"/>
    </row>
    <row r="37" spans="1:16" ht="15" x14ac:dyDescent="0.25">
      <c r="B37" s="9"/>
      <c r="D37" s="32" t="s">
        <v>9</v>
      </c>
      <c r="E37" s="152" t="s">
        <v>10</v>
      </c>
      <c r="F37" s="153"/>
      <c r="G37" s="153"/>
      <c r="H37" s="153"/>
      <c r="I37" s="153"/>
      <c r="J37" s="153"/>
      <c r="K37" s="154"/>
      <c r="L37" s="33" t="s">
        <v>11</v>
      </c>
    </row>
    <row r="38" spans="1:16" ht="17.25" customHeight="1" x14ac:dyDescent="0.2">
      <c r="B38" s="9"/>
      <c r="D38" s="76">
        <f>indcount</f>
        <v>0</v>
      </c>
      <c r="E38" s="149" t="str">
        <f>CONCATENATE("Open-only Individuals  @   £" &amp;  feeind &amp; "  = ")</f>
        <v xml:space="preserve">Open-only Individuals  @   £4  = </v>
      </c>
      <c r="F38" s="150"/>
      <c r="G38" s="150"/>
      <c r="H38" s="150"/>
      <c r="I38" s="150"/>
      <c r="J38" s="150"/>
      <c r="K38" s="151"/>
      <c r="L38" s="77">
        <f>indsfees</f>
        <v>0</v>
      </c>
    </row>
    <row r="39" spans="1:16" ht="17.25" customHeight="1" x14ac:dyDescent="0.2">
      <c r="B39" s="9"/>
      <c r="D39" s="76">
        <f>juncount</f>
        <v>0</v>
      </c>
      <c r="E39" s="149" t="str">
        <f>CONCATENATE("Open Individuals plus concurrent Junior  @   £" &amp; feejs &amp; "  = ")</f>
        <v xml:space="preserve">Open Individuals plus concurrent Junior  @   £6  = </v>
      </c>
      <c r="F39" s="150"/>
      <c r="G39" s="150"/>
      <c r="H39" s="150"/>
      <c r="I39" s="150"/>
      <c r="J39" s="150"/>
      <c r="K39" s="151"/>
      <c r="L39" s="77">
        <f>junfees</f>
        <v>0</v>
      </c>
    </row>
    <row r="40" spans="1:16" ht="17.25" customHeight="1" x14ac:dyDescent="0.2">
      <c r="B40" s="9"/>
      <c r="D40" s="76">
        <f>sencount</f>
        <v>0</v>
      </c>
      <c r="E40" s="149" t="str">
        <f>CONCATENATE("Open Individuals plus concurrent Senior  @   £" &amp; feejs &amp; "  = ")</f>
        <v xml:space="preserve">Open Individuals plus concurrent Senior  @   £6  = </v>
      </c>
      <c r="F40" s="150"/>
      <c r="G40" s="150"/>
      <c r="H40" s="150"/>
      <c r="I40" s="150"/>
      <c r="J40" s="150"/>
      <c r="K40" s="151"/>
      <c r="L40" s="77">
        <f>senfees</f>
        <v>0</v>
      </c>
    </row>
    <row r="41" spans="1:16" ht="17.25" customHeight="1" thickBot="1" x14ac:dyDescent="0.25">
      <c r="B41" s="9"/>
      <c r="D41" s="78">
        <f>teamscount</f>
        <v>0</v>
      </c>
      <c r="E41" s="146" t="str">
        <f>CONCATENATE("Open Teams of 3  @ £" &amp; feetm &amp; "  = ")</f>
        <v xml:space="preserve">Open Teams of 3  @ £12  = </v>
      </c>
      <c r="F41" s="147"/>
      <c r="G41" s="147"/>
      <c r="H41" s="147"/>
      <c r="I41" s="147"/>
      <c r="J41" s="147"/>
      <c r="K41" s="148"/>
      <c r="L41" s="79">
        <f>teamsfees</f>
        <v>0</v>
      </c>
    </row>
    <row r="42" spans="1:16" ht="17.25" customHeight="1" thickBot="1" x14ac:dyDescent="0.25">
      <c r="B42" s="9"/>
      <c r="D42" s="122"/>
      <c r="E42" s="171" t="s">
        <v>65</v>
      </c>
      <c r="F42" s="172"/>
      <c r="G42" s="172"/>
      <c r="H42" s="172"/>
      <c r="I42" s="172"/>
      <c r="J42" s="172"/>
      <c r="K42" s="173"/>
      <c r="L42" s="87">
        <f>totfees</f>
        <v>0</v>
      </c>
    </row>
    <row r="43" spans="1:16" ht="11.25" customHeight="1" x14ac:dyDescent="0.2">
      <c r="B43" s="170" t="s">
        <v>88</v>
      </c>
      <c r="C43" s="170"/>
      <c r="D43" s="170"/>
      <c r="E43" s="170"/>
      <c r="F43" s="170"/>
      <c r="G43" s="170"/>
      <c r="H43" s="170"/>
      <c r="I43" s="170"/>
      <c r="J43" s="170"/>
      <c r="K43" s="170"/>
      <c r="L43" s="170"/>
      <c r="M43" s="170"/>
      <c r="N43" s="170"/>
    </row>
    <row r="44" spans="1:16" s="12" customFormat="1" ht="48" customHeight="1" x14ac:dyDescent="0.25">
      <c r="B44" s="166" t="s">
        <v>122</v>
      </c>
      <c r="C44" s="166"/>
      <c r="D44" s="166"/>
      <c r="E44" s="166"/>
      <c r="F44" s="166"/>
      <c r="G44" s="166"/>
      <c r="H44" s="166"/>
      <c r="I44" s="166"/>
      <c r="J44" s="166"/>
      <c r="K44" s="166"/>
      <c r="L44" s="166"/>
      <c r="M44" s="166"/>
      <c r="N44" s="166"/>
      <c r="O44" s="166"/>
    </row>
    <row r="45" spans="1:16" ht="33" customHeight="1" x14ac:dyDescent="0.2">
      <c r="B45" s="165" t="s">
        <v>76</v>
      </c>
      <c r="C45" s="165"/>
      <c r="D45" s="165"/>
      <c r="E45" s="165"/>
      <c r="F45" s="165"/>
      <c r="G45" s="165"/>
      <c r="H45" s="165"/>
      <c r="I45" s="165"/>
      <c r="J45" s="165"/>
      <c r="K45" s="165"/>
      <c r="L45" s="165"/>
      <c r="M45" s="165"/>
      <c r="N45" s="165"/>
      <c r="O45" s="165"/>
      <c r="P45" s="64"/>
    </row>
    <row r="46" spans="1:16" ht="38.25" customHeight="1" x14ac:dyDescent="0.25">
      <c r="A46" s="89"/>
      <c r="B46" s="163" t="s">
        <v>123</v>
      </c>
      <c r="C46" s="164"/>
      <c r="D46" s="164"/>
      <c r="E46" s="164"/>
      <c r="F46" s="164"/>
      <c r="G46" s="164"/>
      <c r="H46" s="164"/>
      <c r="I46" s="164"/>
      <c r="J46" s="164"/>
      <c r="K46" s="164"/>
      <c r="L46" s="164"/>
      <c r="M46" s="164"/>
      <c r="N46" s="164"/>
      <c r="O46" s="164"/>
    </row>
    <row r="47" spans="1:16" x14ac:dyDescent="0.2">
      <c r="B47" s="9"/>
    </row>
    <row r="48" spans="1:16" x14ac:dyDescent="0.2">
      <c r="B48" s="9"/>
    </row>
    <row r="49" spans="2:2" x14ac:dyDescent="0.2">
      <c r="B49" s="9"/>
    </row>
    <row r="50" spans="2:2" x14ac:dyDescent="0.2">
      <c r="B50" s="9"/>
    </row>
  </sheetData>
  <sheetProtection algorithmName="SHA-512" hashValue="Zx1IubtTJlxq0lUQYMRwbkmwB70/PiGYsNre/LNy15+BUTbdVz42Y3UOibKV5Dtkn+VQRnoH5yEwT/KvhYdFOw==" saltValue="4Yip6YBJG4OozqQjzJq3AA==" spinCount="100000" sheet="1" objects="1" selectLockedCells="1"/>
  <mergeCells count="40">
    <mergeCell ref="B46:O46"/>
    <mergeCell ref="B45:O45"/>
    <mergeCell ref="B44:O44"/>
    <mergeCell ref="B7:O7"/>
    <mergeCell ref="B4:O4"/>
    <mergeCell ref="B43:N43"/>
    <mergeCell ref="E42:K42"/>
    <mergeCell ref="B27:C27"/>
    <mergeCell ref="B28:C28"/>
    <mergeCell ref="C14:D14"/>
    <mergeCell ref="C25:F25"/>
    <mergeCell ref="H25:I25"/>
    <mergeCell ref="C24:I24"/>
    <mergeCell ref="C23:I23"/>
    <mergeCell ref="D28:I28"/>
    <mergeCell ref="D27:I27"/>
    <mergeCell ref="B3:O3"/>
    <mergeCell ref="B2:O2"/>
    <mergeCell ref="B1:O1"/>
    <mergeCell ref="B9:N9"/>
    <mergeCell ref="E41:K41"/>
    <mergeCell ref="E40:K40"/>
    <mergeCell ref="E39:K39"/>
    <mergeCell ref="E38:K38"/>
    <mergeCell ref="E37:K37"/>
    <mergeCell ref="D36:L36"/>
    <mergeCell ref="L12:N12"/>
    <mergeCell ref="D18:G18"/>
    <mergeCell ref="I12:K12"/>
    <mergeCell ref="B10:M10"/>
    <mergeCell ref="C12:G12"/>
    <mergeCell ref="D33:H33"/>
    <mergeCell ref="B33:C33"/>
    <mergeCell ref="B18:C18"/>
    <mergeCell ref="B35:O35"/>
    <mergeCell ref="C22:I22"/>
    <mergeCell ref="C21:I21"/>
    <mergeCell ref="K33:O33"/>
    <mergeCell ref="B31:O31"/>
    <mergeCell ref="B30:O30"/>
  </mergeCells>
  <printOptions horizontalCentered="1"/>
  <pageMargins left="0.43307086614173229" right="0.43307086614173229" top="0.55118110236220474" bottom="0.46" header="0.31496062992125984" footer="0.31496062992125984"/>
  <pageSetup paperSize="9" scale="78"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88E37-BF3B-428D-BDAD-161C2157F29F}">
  <sheetPr codeName="Sheet511">
    <tabColor rgb="FF00FFCC"/>
  </sheetPr>
  <dimension ref="A1:G34"/>
  <sheetViews>
    <sheetView showGridLines="0" showRowColHeaders="0" zoomScaleNormal="100" workbookViewId="0">
      <pane ySplit="8" topLeftCell="A9" activePane="bottomLeft" state="frozen"/>
      <selection pane="bottomLeft" activeCell="B9" sqref="B9"/>
    </sheetView>
  </sheetViews>
  <sheetFormatPr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IF(COUNTIFS(as100errs,"?*")&gt;0,"Errors on the sheet, please see below the table","")</f>
        <v/>
      </c>
    </row>
    <row r="5" spans="1:7" x14ac:dyDescent="0.25">
      <c r="A5" s="9"/>
      <c r="B5" s="69" t="s">
        <v>40</v>
      </c>
      <c r="C5" s="9"/>
      <c r="D5" s="9"/>
    </row>
    <row r="6" spans="1:7" ht="18.75" thickBot="1" x14ac:dyDescent="0.3">
      <c r="A6" s="10"/>
      <c r="B6" s="207" t="s">
        <v>116</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28"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thickBot="1" x14ac:dyDescent="0.3">
      <c r="A28" s="89">
        <v>20</v>
      </c>
      <c r="B28" s="55"/>
      <c r="C28" s="53"/>
      <c r="D28" s="56"/>
      <c r="E28" s="56"/>
      <c r="F28" s="54"/>
      <c r="G28" s="68" t="str">
        <f t="shared" si="0"/>
        <v/>
      </c>
    </row>
    <row r="29" spans="1:7" x14ac:dyDescent="0.25">
      <c r="B29" s="4" t="str">
        <f>IF(COUNTA(as100nms)&gt;COUNT(as100avs)," There are more Names than Averages. Please check.","")</f>
        <v/>
      </c>
    </row>
    <row r="30" spans="1:7" x14ac:dyDescent="0.25">
      <c r="B30" s="4" t="str">
        <f>IF(COUNTA(as100nms)&lt;COUNT(as100avs)," There are more Averages than Names. Please check.","")</f>
        <v/>
      </c>
    </row>
    <row r="31" spans="1:7" x14ac:dyDescent="0.25">
      <c r="B31" s="4" t="str">
        <f>IF(AND(COUNTA(as100tms)&gt;0,MOD(COUNTA(as100tms),3)&lt;&gt;0)," The number of team letters must be a multiple of 3.","")</f>
        <v/>
      </c>
    </row>
    <row r="32" spans="1:7" x14ac:dyDescent="0.25">
      <c r="B32" s="4" t="str">
        <f>IF(COUNTA(as100js)&gt;COUNTA(as100inds)," There are more Juns/Sens than the number of individual entrants","")</f>
        <v/>
      </c>
    </row>
    <row r="33" spans="2:2" x14ac:dyDescent="0.25">
      <c r="B33" s="4" t="str">
        <f>IF(COUNTA(as100tms)&gt;COUNTA(as100nms)," There are more team letters than potential  team members.","")</f>
        <v/>
      </c>
    </row>
    <row r="34" spans="2:2" x14ac:dyDescent="0.25">
      <c r="B34" s="4" t="str">
        <f>IF(COUNTIFS(as100chk,"?*")&gt;0," Name entered neither as an Individual nor as a Team member. See 'x' at side.","")</f>
        <v/>
      </c>
    </row>
  </sheetData>
  <sheetProtection algorithmName="SHA-512" hashValue="tzxHByMmARvWGfutmRVTvYWn/8IX/E5WmDVsj7H4lz8747NafW1tzmMjCthNdnK90nKLiMtaJHNAWqkvZ9KcTQ==" saltValue="1K125la/0ZksCfzTjaIbrg=="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28" xr:uid="{1A4557BE-6437-4493-8A5A-B45AE9D7A6ED}">
      <formula1>1</formula1>
      <formula2>200</formula2>
    </dataValidation>
    <dataValidation type="custom" allowBlank="1" showInputMessage="1" showErrorMessage="1" errorTitle="Data Error" error="Enter 'x' or 'X' for Individual entrants." sqref="D9:D28" xr:uid="{9452D7BF-BDE9-4927-B2C2-4DA6DD6CA7C5}">
      <formula1>OR(EXACT(D9,"x"),EXACT(D9,"X"))</formula1>
    </dataValidation>
    <dataValidation type="custom" allowBlank="1" showInputMessage="1" showErrorMessage="1" errorTitle="Data error" error="Team letters must be one-charcater alphabetic." sqref="F9:F28" xr:uid="{B4B23C5F-1C34-4F1D-93D6-6CB45B0DC5EF}">
      <formula1>AND(LEN(F9)=1,ISTEXT(F9))</formula1>
    </dataValidation>
    <dataValidation type="custom" allowBlank="1" showInputMessage="1" showErrorMessage="1" errorTitle="Data error" error="error" sqref="K9" xr:uid="{8901C65C-9F77-4C15-A6E6-E701C52A208A}">
      <formula1>AND(LEN(F9)=1,ISTEXT(F9))</formula1>
    </dataValidation>
    <dataValidation type="custom" allowBlank="1" showInputMessage="1" showErrorMessage="1" errorTitle="Data error" error="Enter 'J' or  S' (upper or lower case) to make an entry to the Junior or Senior competition." sqref="E9:E28" xr:uid="{A54A2A17-1D16-4A04-A5EF-FC2C023A5F9C}">
      <formula1>OR(E9="J",E9="J",E9="s",E9="S")</formula1>
    </dataValidation>
  </dataValidations>
  <hyperlinks>
    <hyperlink ref="B4" location="summas100" display="Go to Summary sheet" xr:uid="{4226B48A-2CC5-43F8-87F7-6126C630D397}"/>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AE694-AF21-4036-B595-5BF44D6A031B}">
  <sheetPr codeName="Sheet512">
    <tabColor rgb="FF00FFCC"/>
  </sheetPr>
  <dimension ref="A1:G34"/>
  <sheetViews>
    <sheetView showGridLines="0" showRowColHeaders="0" zoomScaleNormal="100" workbookViewId="0">
      <pane ySplit="8" topLeftCell="A9" activePane="bottomLeft" state="frozen"/>
      <selection pane="bottomLeft" activeCell="B9" sqref="B9"/>
    </sheetView>
  </sheetViews>
  <sheetFormatPr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IF(COUNTIFS(is50errs,"?*")&gt;0,"Errors on the sheet, please see below the table","")</f>
        <v/>
      </c>
    </row>
    <row r="5" spans="1:7" x14ac:dyDescent="0.25">
      <c r="A5" s="9"/>
      <c r="B5" s="69" t="s">
        <v>40</v>
      </c>
      <c r="C5" s="9"/>
      <c r="D5" s="9"/>
    </row>
    <row r="6" spans="1:7" ht="18.75" thickBot="1" x14ac:dyDescent="0.3">
      <c r="A6" s="10"/>
      <c r="B6" s="207" t="s">
        <v>118</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28"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thickBot="1" x14ac:dyDescent="0.3">
      <c r="A28" s="89">
        <v>20</v>
      </c>
      <c r="B28" s="55"/>
      <c r="C28" s="53"/>
      <c r="D28" s="56"/>
      <c r="E28" s="56"/>
      <c r="F28" s="54"/>
      <c r="G28" s="68" t="str">
        <f t="shared" si="0"/>
        <v/>
      </c>
    </row>
    <row r="29" spans="1:7" x14ac:dyDescent="0.25">
      <c r="B29" s="4" t="str">
        <f>IF(COUNTA(is50nms)&gt;COUNT(is50avs)," There are more Names than Averages. Please check.","")</f>
        <v/>
      </c>
    </row>
    <row r="30" spans="1:7" x14ac:dyDescent="0.25">
      <c r="B30" s="4" t="str">
        <f>IF(COUNTA(is50nms)&lt;COUNT(is50avs)," There are more Averages than Names. Please check.","")</f>
        <v/>
      </c>
    </row>
    <row r="31" spans="1:7" x14ac:dyDescent="0.25">
      <c r="B31" s="4" t="str">
        <f>IF(AND(COUNTA(is50tms)&gt;0,MOD(COUNTA(is50tms),3)&lt;&gt;0)," The number of team letters must be a multiple of 3.","")</f>
        <v/>
      </c>
    </row>
    <row r="32" spans="1:7" x14ac:dyDescent="0.25">
      <c r="B32" s="4" t="str">
        <f>IF(COUNTA(is50js)&gt;COUNTA(is50inds)," There are more Juns/Sens than the number of individual entrants","")</f>
        <v/>
      </c>
    </row>
    <row r="33" spans="2:2" x14ac:dyDescent="0.25">
      <c r="B33" s="4" t="str">
        <f>IF(COUNTA(is50tms)&gt;COUNTA(is50nms)," There are more team letters than potential  team members.","")</f>
        <v/>
      </c>
    </row>
    <row r="34" spans="2:2" x14ac:dyDescent="0.25">
      <c r="B34" s="4" t="str">
        <f>IF(COUNTIFS(is50chk,"?*")&gt;0," Name entered neither as an Individual nor as a Team member. See 'x' at side.","")</f>
        <v/>
      </c>
    </row>
  </sheetData>
  <sheetProtection algorithmName="SHA-512" hashValue="3ROjFtdN2KjvCdtO0K6AsPtZgfkt+zao+KTIJBeHRvDfB1taROOKCO/bv706Isboi+YCZnlmzR/k+Mv9JoSMLg==" saltValue="wD5dJrKi+FONzxCRUb2HoQ=="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28" xr:uid="{9D452FA0-72ED-4F47-A3FF-4F164930BC6F}">
      <formula1>1</formula1>
      <formula2>200</formula2>
    </dataValidation>
    <dataValidation type="custom" allowBlank="1" showInputMessage="1" showErrorMessage="1" errorTitle="Data Error" error="Enter 'x' or 'X' for Individual entrants." sqref="D9:D28" xr:uid="{72DB689F-C0FD-43FB-BD38-97AA7DB8E3A2}">
      <formula1>OR(EXACT(D9,"x"),EXACT(D9,"X"))</formula1>
    </dataValidation>
    <dataValidation type="custom" allowBlank="1" showInputMessage="1" showErrorMessage="1" errorTitle="Data error" error="Team letters must be one-charcater alphabetic." sqref="F9:F28" xr:uid="{3B3976CA-78B5-401C-986A-1DC42D041C46}">
      <formula1>AND(LEN(F9)=1,ISTEXT(F9))</formula1>
    </dataValidation>
    <dataValidation type="custom" allowBlank="1" showInputMessage="1" showErrorMessage="1" errorTitle="Data error" error="error" sqref="K9" xr:uid="{B09E13F7-2715-42FA-B8B5-72B7AAE5485B}">
      <formula1>AND(LEN(F9)=1,ISTEXT(F9))</formula1>
    </dataValidation>
    <dataValidation type="custom" allowBlank="1" showInputMessage="1" showErrorMessage="1" errorTitle="Data error" error="Enter 'J' or  S' (upper or lower case) to make an entry to the Junior or Senior competition." sqref="E9:E28" xr:uid="{5B4CAFE6-FDAF-44FA-9B1D-950C4DD71742}">
      <formula1>OR(E9="J",E9="J",E9="s",E9="S")</formula1>
    </dataValidation>
  </dataValidations>
  <hyperlinks>
    <hyperlink ref="B4" location="summis50" display="Go to Summary sheet" xr:uid="{F8E3438B-5D1A-4223-A939-A04CD09249FF}"/>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033A8-15F2-479B-A9FB-BE6CB7944288}">
  <sheetPr codeName="Sheet55">
    <tabColor rgb="FF00FFCC"/>
  </sheetPr>
  <dimension ref="A1:G34"/>
  <sheetViews>
    <sheetView showGridLines="0" showRowColHeaders="0" zoomScaleNormal="100" workbookViewId="0">
      <pane ySplit="8" topLeftCell="A9" activePane="bottomLeft" state="frozen"/>
      <selection pane="bottomLeft" activeCell="B9" sqref="B9"/>
    </sheetView>
  </sheetViews>
  <sheetFormatPr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IF(COUNTIFS(dewrerrs,"?*")&gt;0,"Errors on the sheet, please see below the table","")</f>
        <v/>
      </c>
    </row>
    <row r="5" spans="1:7" x14ac:dyDescent="0.25">
      <c r="A5" s="9"/>
      <c r="B5" s="69" t="s">
        <v>40</v>
      </c>
      <c r="C5" s="9"/>
      <c r="D5" s="9"/>
    </row>
    <row r="6" spans="1:7" ht="18.75" thickBot="1" x14ac:dyDescent="0.3">
      <c r="A6" s="10"/>
      <c r="B6" s="207" t="s">
        <v>114</v>
      </c>
      <c r="C6" s="207"/>
      <c r="D6" s="207"/>
      <c r="E6" s="8" t="s">
        <v>3</v>
      </c>
      <c r="F6" s="11"/>
    </row>
    <row r="7" spans="1:7" ht="18.75" hidden="1" thickBot="1" x14ac:dyDescent="0.3">
      <c r="A7" s="10"/>
      <c r="B7" s="2"/>
      <c r="D7" s="8"/>
      <c r="F7" s="11"/>
    </row>
    <row r="8" spans="1:7" ht="51" thickBot="1" x14ac:dyDescent="0.3">
      <c r="A8" s="72" t="s">
        <v>38</v>
      </c>
      <c r="B8" s="73" t="s">
        <v>43</v>
      </c>
      <c r="C8" s="74" t="s">
        <v>117</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28"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ref="G22:G26" si="1">IF(AND(B22&lt;&gt;"",D22="",F22=""),"x","")</f>
        <v/>
      </c>
    </row>
    <row r="23" spans="1:7" ht="15" customHeight="1" x14ac:dyDescent="0.25">
      <c r="A23" s="89">
        <v>15</v>
      </c>
      <c r="B23" s="51"/>
      <c r="C23" s="19"/>
      <c r="D23" s="20"/>
      <c r="E23" s="20"/>
      <c r="F23" s="52"/>
      <c r="G23" s="68" t="str">
        <f t="shared" si="1"/>
        <v/>
      </c>
    </row>
    <row r="24" spans="1:7" ht="15" customHeight="1" x14ac:dyDescent="0.25">
      <c r="A24" s="89">
        <v>16</v>
      </c>
      <c r="B24" s="51"/>
      <c r="C24" s="19"/>
      <c r="D24" s="20"/>
      <c r="E24" s="20"/>
      <c r="F24" s="52"/>
      <c r="G24" s="68" t="str">
        <f t="shared" si="1"/>
        <v/>
      </c>
    </row>
    <row r="25" spans="1:7" ht="15" customHeight="1" x14ac:dyDescent="0.25">
      <c r="A25" s="89">
        <v>17</v>
      </c>
      <c r="B25" s="51"/>
      <c r="C25" s="19"/>
      <c r="D25" s="20"/>
      <c r="E25" s="20"/>
      <c r="F25" s="52"/>
      <c r="G25" s="68" t="str">
        <f t="shared" si="1"/>
        <v/>
      </c>
    </row>
    <row r="26" spans="1:7" ht="15" customHeight="1" x14ac:dyDescent="0.25">
      <c r="A26" s="89">
        <v>18</v>
      </c>
      <c r="B26" s="51"/>
      <c r="C26" s="19"/>
      <c r="D26" s="20"/>
      <c r="E26" s="20"/>
      <c r="F26" s="52"/>
      <c r="G26" s="68" t="str">
        <f t="shared" si="1"/>
        <v/>
      </c>
    </row>
    <row r="27" spans="1:7" ht="15" customHeight="1" x14ac:dyDescent="0.25">
      <c r="A27" s="89">
        <v>19</v>
      </c>
      <c r="B27" s="51"/>
      <c r="C27" s="19"/>
      <c r="D27" s="20"/>
      <c r="E27" s="20"/>
      <c r="F27" s="52"/>
      <c r="G27" s="68" t="str">
        <f t="shared" si="0"/>
        <v/>
      </c>
    </row>
    <row r="28" spans="1:7" ht="15" customHeight="1" thickBot="1" x14ac:dyDescent="0.3">
      <c r="A28" s="89">
        <v>20</v>
      </c>
      <c r="B28" s="55"/>
      <c r="C28" s="53"/>
      <c r="D28" s="56"/>
      <c r="E28" s="56"/>
      <c r="F28" s="54"/>
      <c r="G28" s="68" t="str">
        <f t="shared" si="0"/>
        <v/>
      </c>
    </row>
    <row r="29" spans="1:7" x14ac:dyDescent="0.25">
      <c r="B29" s="4" t="str">
        <f>IF(COUNTA(dewrnms)&gt;COUNT(dewravs)," There are more Names than Averages. Please check.","")</f>
        <v/>
      </c>
    </row>
    <row r="30" spans="1:7" x14ac:dyDescent="0.25">
      <c r="B30" s="4" t="str">
        <f>IF(COUNTA(dewrnms)&lt;COUNT(dewravs)," There are more Averages than Names. Please check.","")</f>
        <v/>
      </c>
    </row>
    <row r="31" spans="1:7" x14ac:dyDescent="0.25">
      <c r="B31" s="4" t="str">
        <f>IF(AND(COUNTA(dewrtms)&gt;0,MOD(COUNTA(dewrtms),3)&lt;&gt;0)," The number of team letters must be a multiple of 3.","")</f>
        <v/>
      </c>
    </row>
    <row r="32" spans="1:7" x14ac:dyDescent="0.25">
      <c r="B32" s="4" t="str">
        <f>IF(COUNTA(dewrjs)&gt;COUNTA(dewrinds)," There are more Juns/Sens than the number of individual entrants","")</f>
        <v/>
      </c>
    </row>
    <row r="33" spans="2:2" x14ac:dyDescent="0.25">
      <c r="B33" s="4" t="str">
        <f>IF(COUNTA(dewrtms)&gt;COUNTA(dewrnms)," There are more team letters than potential  team members.","")</f>
        <v/>
      </c>
    </row>
    <row r="34" spans="2:2" x14ac:dyDescent="0.25">
      <c r="B34" s="4" t="str">
        <f>IF(COUNTIFS(dewrchk,"?*")&gt;0," Name entered neither as an Individual nor as a Team member. See 'x' at side.","")</f>
        <v/>
      </c>
    </row>
  </sheetData>
  <sheetProtection algorithmName="SHA-512" hashValue="3tjxV5wqbrJbELaXf99El/vZ6cXLlcOwrYt4c9AL925eCkTPfpQosd3A5T55/IZcZfip6x19lKWHydhfyxG2pQ==" saltValue="LFE4fBrc2kVSl4ZKoOfi/A==" spinCount="100000" sheet="1" objects="1" selectLockedCells="1"/>
  <mergeCells count="4">
    <mergeCell ref="B1:F1"/>
    <mergeCell ref="B2:F2"/>
    <mergeCell ref="B3:F3"/>
    <mergeCell ref="B6:D6"/>
  </mergeCells>
  <dataValidations count="6">
    <dataValidation type="custom" allowBlank="1" showInputMessage="1" showErrorMessage="1" errorTitle="Data error" error="error" sqref="K9" xr:uid="{71627B0A-9CC9-45C2-9FE8-45A71BDE3BFC}">
      <formula1>AND(LEN(F9)=1,ISTEXT(F9))</formula1>
    </dataValidation>
    <dataValidation type="decimal" allowBlank="1" showInputMessage="1" showErrorMessage="1" errorTitle="Data error" error="Averages must be a decimal number between 1 and 100." sqref="C11:C28" xr:uid="{65B7C0FF-58A1-4EFA-B9DC-8F6E5FE77B26}">
      <formula1>1</formula1>
      <formula2>100</formula2>
    </dataValidation>
    <dataValidation type="custom" allowBlank="1" showInputMessage="1" showErrorMessage="1" errorTitle="Data Error" error="Enter 'x' or 'X' for Individual entrants." sqref="D9:D28" xr:uid="{E686FD73-173E-4E04-87A0-3FB7E1B5BB2F}">
      <formula1>OR(EXACT(D9,"x"),EXACT(D9,"X"))</formula1>
    </dataValidation>
    <dataValidation type="custom" allowBlank="1" showInputMessage="1" showErrorMessage="1" errorTitle="Data error" error="Team letters must be one-charcater alphabetic." sqref="F9:F28" xr:uid="{C74599FD-4C23-4F11-9083-2E0C5A4E72CF}">
      <formula1>AND(LEN(F9)=1,ISTEXT(F9))</formula1>
    </dataValidation>
    <dataValidation type="custom" allowBlank="1" showInputMessage="1" showErrorMessage="1" errorTitle="Data error" error="Enter 'J' or  S' (upper or lower case) to make an entry to the Junior or Senior competition." sqref="E9:E28" xr:uid="{090A5A59-47F4-47F0-8CAD-F06F2A2C85A1}">
      <formula1>OR(E9="J",E9="J",E9="s",E9="S")</formula1>
    </dataValidation>
    <dataValidation type="decimal" allowBlank="1" showInputMessage="1" showErrorMessage="1" errorTitle="Data error" error="Averages must be a decimal number between 1 and 200." sqref="C9:C10" xr:uid="{C2D867FB-AA15-45F5-9D7A-1599402F329C}">
      <formula1>1</formula1>
      <formula2>200</formula2>
    </dataValidation>
  </dataValidations>
  <hyperlinks>
    <hyperlink ref="B4" location="summdewr" display="Go to Summary sheet" xr:uid="{D75E4244-EBC9-4DA7-819A-B65E15002DB3}"/>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85606-DBEE-40E1-900F-B456168C46D6}">
  <sheetPr codeName="Sheet15">
    <tabColor rgb="FF203764"/>
  </sheetPr>
  <dimension ref="A1:F23"/>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IF(COUNTIFS(mlnerrs,"?*")&gt;0,"Errors on the sheet, please see below the table","")</f>
        <v/>
      </c>
      <c r="D4" s="80"/>
    </row>
    <row r="5" spans="1:6" x14ac:dyDescent="0.25">
      <c r="A5" s="9"/>
      <c r="B5" s="69" t="s">
        <v>42</v>
      </c>
      <c r="C5" s="9"/>
      <c r="D5" s="9"/>
    </row>
    <row r="6" spans="1:6" ht="18.75" thickBot="1" x14ac:dyDescent="0.3">
      <c r="A6" s="10"/>
      <c r="B6" s="207" t="s">
        <v>102</v>
      </c>
      <c r="C6" s="207"/>
      <c r="D6" s="7" t="s">
        <v>4</v>
      </c>
    </row>
    <row r="7" spans="1:6" ht="18.75" hidden="1" thickBot="1" x14ac:dyDescent="0.3">
      <c r="A7" s="10"/>
      <c r="B7" s="3"/>
      <c r="C7" s="7"/>
      <c r="D7" s="11"/>
    </row>
    <row r="8" spans="1:6" ht="51" thickBot="1" x14ac:dyDescent="0.3">
      <c r="A8" s="72" t="s">
        <v>39</v>
      </c>
      <c r="B8" s="73" t="s">
        <v>43</v>
      </c>
      <c r="C8" s="74" t="s">
        <v>48</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thickBot="1" x14ac:dyDescent="0.3">
      <c r="A20" s="89">
        <v>12</v>
      </c>
      <c r="B20" s="66"/>
      <c r="C20" s="53"/>
      <c r="D20" s="65"/>
      <c r="E20" s="13"/>
    </row>
    <row r="21" spans="1:5" x14ac:dyDescent="0.25">
      <c r="A21" s="9"/>
      <c r="B21" s="4" t="str">
        <f>IF(COUNTA(mlnnms)&lt;&gt;COUNT(mlnavs)," Mismatch between number of Names and number of Averages. Please check.","")</f>
        <v/>
      </c>
      <c r="C21" s="12"/>
      <c r="D21" s="12"/>
    </row>
    <row r="22" spans="1:5" x14ac:dyDescent="0.25">
      <c r="B22" s="4" t="str">
        <f>IF(COUNTA(mlnjs)&gt;COUNTA(mlnnms)," There are more Juns/Sens than the total number of entrants","")</f>
        <v/>
      </c>
    </row>
    <row r="23" spans="1:5" x14ac:dyDescent="0.25">
      <c r="B23" s="4"/>
    </row>
  </sheetData>
  <sheetProtection algorithmName="SHA-512" hashValue="yxRXEylba2YzSG9V31gKurjqYZgetuMBcou3BR7fil5lTIRvl5BrsHImdoQgm1RkPU05AMqBJAxcrzeUIeFrvQ==" saltValue="+btOb4WuBahvQF1x5Cpy1Q==" spinCount="100000" sheet="1" objects="1" selectLockedCells="1"/>
  <mergeCells count="4">
    <mergeCell ref="A1:E1"/>
    <mergeCell ref="A2:E2"/>
    <mergeCell ref="A3:E3"/>
    <mergeCell ref="B6:C6"/>
  </mergeCells>
  <dataValidations count="3">
    <dataValidation type="decimal" allowBlank="1" showInputMessage="1" showErrorMessage="1" errorTitle="Data error" error="Average must be between 1 and 100." sqref="C11:C20" xr:uid="{CEB2B616-63FB-40CD-8B23-CAE6C749E4FD}">
      <formula1>1</formula1>
      <formula2>100</formula2>
    </dataValidation>
    <dataValidation type="custom" allowBlank="1" showInputMessage="1" showErrorMessage="1" errorTitle="Data error" error="Enter J or S (upper or lower case) to make an entry in the Junior or Senior competition." sqref="D9:D20" xr:uid="{DE0C92F0-00D0-4B17-9017-0E8D7EAE8B03}">
      <formula1>OR(D9="J",D9="J",D9="s",D9="S")</formula1>
    </dataValidation>
    <dataValidation type="decimal" allowBlank="1" showInputMessage="1" showErrorMessage="1" errorTitle="Data error" error="Average must be between 1 and 200." sqref="C9:C10" xr:uid="{D759D617-AFA0-4146-A38B-B2558A736B85}">
      <formula1>1</formula1>
      <formula2>200</formula2>
    </dataValidation>
  </dataValidations>
  <hyperlinks>
    <hyperlink ref="B4" location="summmln" display="Go to Summary sheet" xr:uid="{15189C99-0955-4536-B4FF-FD18DBF038D3}"/>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F3711-2FDF-45B0-80FB-BD446EA24EF8}">
  <sheetPr codeName="Sheet13">
    <tabColor rgb="FF203764"/>
  </sheetPr>
  <dimension ref="A1:F26"/>
  <sheetViews>
    <sheetView showGridLines="0" showRowColHeaders="0" workbookViewId="0">
      <pane ySplit="8" topLeftCell="A9" activePane="bottomLeft" state="frozen"/>
      <selection pane="bottomLeft" activeCell="B4" sqref="B4"/>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IF(COUNTIFS(mlperrs,"?*")&gt;0,"Errors on the sheet, please see below the table","")</f>
        <v/>
      </c>
      <c r="D4" s="80"/>
    </row>
    <row r="5" spans="1:6" x14ac:dyDescent="0.25">
      <c r="A5" s="9"/>
      <c r="B5" s="69" t="s">
        <v>42</v>
      </c>
      <c r="C5" s="9"/>
      <c r="D5" s="9"/>
    </row>
    <row r="6" spans="1:6" ht="18.75" thickBot="1" x14ac:dyDescent="0.3">
      <c r="A6" s="10"/>
      <c r="B6" s="207" t="s">
        <v>103</v>
      </c>
      <c r="C6" s="207"/>
      <c r="D6" s="7" t="s">
        <v>4</v>
      </c>
    </row>
    <row r="7" spans="1:6" ht="18.75" hidden="1" thickBot="1" x14ac:dyDescent="0.3">
      <c r="A7" s="10"/>
      <c r="B7" s="3"/>
      <c r="C7" s="7"/>
      <c r="D7" s="11"/>
    </row>
    <row r="8" spans="1:6" ht="51" thickBot="1" x14ac:dyDescent="0.3">
      <c r="A8" s="72" t="s">
        <v>39</v>
      </c>
      <c r="B8" s="73" t="s">
        <v>43</v>
      </c>
      <c r="C8" s="74" t="s">
        <v>48</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thickBot="1" x14ac:dyDescent="0.3">
      <c r="A23" s="89">
        <v>15</v>
      </c>
      <c r="B23" s="66"/>
      <c r="C23" s="53"/>
      <c r="D23" s="65"/>
      <c r="E23" s="13"/>
    </row>
    <row r="24" spans="1:5" x14ac:dyDescent="0.25">
      <c r="A24" s="9"/>
      <c r="B24" s="4" t="str">
        <f>IF(COUNTA(mlpnms)&lt;&gt;COUNT(mlpavs)," Mismatch between number of Names and number of Averages. Please check.","")</f>
        <v/>
      </c>
      <c r="C24" s="12"/>
      <c r="D24" s="12"/>
    </row>
    <row r="25" spans="1:5" x14ac:dyDescent="0.25">
      <c r="B25" s="4" t="str">
        <f>IF(COUNTA(mlpjs)&gt;COUNTA(mlpnms)," There are more Juns/Sens than the total number of entrants","")</f>
        <v/>
      </c>
    </row>
    <row r="26" spans="1:5" x14ac:dyDescent="0.25">
      <c r="B26" s="4"/>
    </row>
  </sheetData>
  <sheetProtection algorithmName="SHA-512" hashValue="VqGjXEAonUzY7NriGN2UTYvYQHsodxQ92Spuy2bsOGuWfoR1ZqzhUgdNesNtrPvleSVm4IBvJvSulIBVPyCAXA==" saltValue="PZCfzt+wj6d6Nx73e7/ovg==" spinCount="100000" sheet="1" objects="1" selectLockedCells="1"/>
  <mergeCells count="4">
    <mergeCell ref="A1:E1"/>
    <mergeCell ref="A2:E2"/>
    <mergeCell ref="A3:E3"/>
    <mergeCell ref="B6:C6"/>
  </mergeCells>
  <dataValidations count="3">
    <dataValidation type="decimal" allowBlank="1" showInputMessage="1" showErrorMessage="1" errorTitle="Data error" error="Average must be between 1 and 100." sqref="C11:C23" xr:uid="{43D9B4B3-4DBE-47FB-8879-4939ED57575B}">
      <formula1>1</formula1>
      <formula2>100</formula2>
    </dataValidation>
    <dataValidation type="custom" allowBlank="1" showInputMessage="1" showErrorMessage="1" errorTitle="Data error" error="Enter J or S (upper or lower case) to make an entry in the Junior or Senior competition." sqref="D9:D23" xr:uid="{C33370D4-CF90-4EF3-BBD0-B99E6BAD3040}">
      <formula1>OR(D9="J",D9="J",D9="s",D9="S")</formula1>
    </dataValidation>
    <dataValidation type="decimal" allowBlank="1" showInputMessage="1" showErrorMessage="1" errorTitle="Data error" error="Average must be between 1 and 200." sqref="C9:C10" xr:uid="{A6660816-3679-4E5E-B837-BC183ACF80C6}">
      <formula1>1</formula1>
      <formula2>200</formula2>
    </dataValidation>
  </dataValidations>
  <hyperlinks>
    <hyperlink ref="B4" location="summmlp" display="Go to Summary sheet" xr:uid="{2373E440-451F-48CA-AF81-BF86C0EF97AF}"/>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C1049-4BAF-4C39-ADB2-0BCCD21F1F30}">
  <sheetPr codeName="Sheet14">
    <tabColor rgb="FF203764"/>
  </sheetPr>
  <dimension ref="A1:F26"/>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IF(COUNTIFS(mlrerrs,"?*")&gt;0,"Errors on the sheet, please see below the table","")</f>
        <v/>
      </c>
      <c r="D4" s="80"/>
    </row>
    <row r="5" spans="1:6" x14ac:dyDescent="0.25">
      <c r="A5" s="9"/>
      <c r="B5" s="69" t="s">
        <v>42</v>
      </c>
      <c r="C5" s="9"/>
      <c r="D5" s="9"/>
    </row>
    <row r="6" spans="1:6" ht="18.75" thickBot="1" x14ac:dyDescent="0.3">
      <c r="A6" s="10"/>
      <c r="B6" s="207" t="s">
        <v>104</v>
      </c>
      <c r="C6" s="207"/>
      <c r="D6" s="7" t="s">
        <v>4</v>
      </c>
    </row>
    <row r="7" spans="1:6" ht="18.75" hidden="1" thickBot="1" x14ac:dyDescent="0.3">
      <c r="A7" s="10"/>
      <c r="B7" s="3"/>
      <c r="C7" s="7"/>
      <c r="D7" s="11"/>
    </row>
    <row r="8" spans="1:6" ht="51" thickBot="1" x14ac:dyDescent="0.3">
      <c r="A8" s="72" t="s">
        <v>39</v>
      </c>
      <c r="B8" s="73" t="s">
        <v>43</v>
      </c>
      <c r="C8" s="74" t="s">
        <v>48</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thickBot="1" x14ac:dyDescent="0.3">
      <c r="A23" s="89">
        <v>15</v>
      </c>
      <c r="B23" s="66"/>
      <c r="C23" s="53"/>
      <c r="D23" s="65"/>
      <c r="E23" s="13"/>
    </row>
    <row r="24" spans="1:5" x14ac:dyDescent="0.25">
      <c r="A24" s="9"/>
      <c r="B24" s="4" t="str">
        <f>IF(COUNTA(mlrnms)&lt;&gt;COUNT(mlravs)," Mismatch between number of Names and number of Averages. Please check.","")</f>
        <v/>
      </c>
      <c r="C24" s="12"/>
      <c r="D24" s="12"/>
    </row>
    <row r="25" spans="1:5" x14ac:dyDescent="0.25">
      <c r="B25" s="4" t="str">
        <f>IF(COUNTA(mlrjs)&gt;COUNTA(mlrnms)," There are more Juns/Sens than the total number of entrants","")</f>
        <v/>
      </c>
    </row>
    <row r="26" spans="1:5" x14ac:dyDescent="0.25">
      <c r="B26" s="4"/>
    </row>
  </sheetData>
  <sheetProtection algorithmName="SHA-512" hashValue="/EkGp/R65tkDUG1y83193uyGuTlwQyZ9TNCNig3H8rrlC2D+EhyvHAdNRDszqYJ2cDALCNf4Hp51VUJlW4kWNQ==" saltValue="wdDMaeXKzgl8LmW43lqG/A==" spinCount="100000" sheet="1" objects="1" selectLockedCells="1"/>
  <mergeCells count="4">
    <mergeCell ref="A1:E1"/>
    <mergeCell ref="A2:E2"/>
    <mergeCell ref="A3:E3"/>
    <mergeCell ref="B6:C6"/>
  </mergeCells>
  <dataValidations count="3">
    <dataValidation type="decimal" allowBlank="1" showInputMessage="1" showErrorMessage="1" errorTitle="Data error" error="Average must be between 1 and 100." sqref="C11:C23" xr:uid="{D8A98BBE-4959-45B0-ADF1-C5D968CE3E63}">
      <formula1>1</formula1>
      <formula2>100</formula2>
    </dataValidation>
    <dataValidation type="custom" allowBlank="1" showInputMessage="1" showErrorMessage="1" errorTitle="Data error" error="Enter J or S (upper or lower case) to make an entry in the Junior or Senior competition." sqref="D9:D23" xr:uid="{A9C55EE7-2581-43A4-ADAF-B6387C6D4099}">
      <formula1>OR(D9="J",D9="J",D9="s",D9="S")</formula1>
    </dataValidation>
    <dataValidation type="decimal" allowBlank="1" showInputMessage="1" showErrorMessage="1" errorTitle="Data error" error="Average must be between 1 and 200." sqref="C9:C10" xr:uid="{64B426A0-CCC7-4867-9117-4A518BE77D7C}">
      <formula1>1</formula1>
      <formula2>200</formula2>
    </dataValidation>
  </dataValidations>
  <hyperlinks>
    <hyperlink ref="B4" location="summmlr" display="Go to Summary sheet" xr:uid="{76915C08-2132-40A2-A665-5694BCFD4BF1}"/>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F0E19-EEC5-49BC-9590-CCE63AC4AF74}">
  <sheetPr codeName="Sheet20">
    <tabColor rgb="FF7030A0"/>
  </sheetPr>
  <dimension ref="A1:F26"/>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IF(COUNTIFS(rfaperrs,"?*")&gt;0,"Errors on the sheet, please see below the table","")</f>
        <v/>
      </c>
      <c r="D4" s="80"/>
    </row>
    <row r="5" spans="1:6" x14ac:dyDescent="0.25">
      <c r="A5" s="9"/>
      <c r="B5" s="69" t="s">
        <v>42</v>
      </c>
      <c r="C5" s="9"/>
      <c r="D5" s="9"/>
    </row>
    <row r="6" spans="1:6" ht="18.75" thickBot="1" x14ac:dyDescent="0.3">
      <c r="A6" s="10"/>
      <c r="B6" s="207" t="s">
        <v>105</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thickBot="1" x14ac:dyDescent="0.3">
      <c r="A23" s="89">
        <v>15</v>
      </c>
      <c r="B23" s="66"/>
      <c r="C23" s="53"/>
      <c r="D23" s="65"/>
      <c r="E23" s="13"/>
    </row>
    <row r="24" spans="1:5" x14ac:dyDescent="0.25">
      <c r="A24" s="9"/>
      <c r="B24" s="4" t="str">
        <f>IF(COUNTA(rfapnms)&lt;&gt;COUNT(rfapavs)," Mismatch between number of Names and number of Averages. Please check.","")</f>
        <v/>
      </c>
      <c r="C24" s="12"/>
      <c r="D24" s="12"/>
    </row>
    <row r="25" spans="1:5" x14ac:dyDescent="0.25">
      <c r="B25" s="4" t="str">
        <f>IF(COUNTA(rfapjs)&gt;COUNTA(rfapnms)," There are more Juns/Sens than the total number of entrants","")</f>
        <v/>
      </c>
    </row>
    <row r="26" spans="1:5" x14ac:dyDescent="0.25">
      <c r="B26" s="4"/>
    </row>
  </sheetData>
  <sheetProtection algorithmName="SHA-512" hashValue="j90cXArfLd8ONnekPU7xaLddRnaURL+43msZvm4cHDLuEWRP5ZErHuvonmkXuO4Qke4NEyokUTrwqbMrkRYo4Q==" saltValue="q9WcotborbMOtRR+mR+ONQ=="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23" xr:uid="{9C1A3C46-12D6-4610-906E-5952D39D2C0E}">
      <formula1>1</formula1>
      <formula2>200</formula2>
    </dataValidation>
    <dataValidation type="custom" allowBlank="1" showInputMessage="1" showErrorMessage="1" errorTitle="Data error" error="Enter J or S (upper or lower case) to make an entry in the Junior or Senior competition." sqref="D9:D23" xr:uid="{F044DA5E-BF04-48CF-88F5-8B71831E457F}">
      <formula1>OR(D9="J",D9="J",D9="s",D9="S")</formula1>
    </dataValidation>
  </dataValidations>
  <hyperlinks>
    <hyperlink ref="B4" location="summrfap" display="Go to Summary sheet" xr:uid="{B3A1EF1F-49E3-4026-99C6-63A5B1407D19}"/>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331F4-1BEB-4900-8EE1-6DF6F85CE8CA}">
  <sheetPr codeName="Sheet19">
    <tabColor rgb="FF404040"/>
  </sheetPr>
  <dimension ref="A1:F21"/>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IF(COUNTIFS(rfrerrs,"?*")&gt;0,"Errors on the sheet, please see below the table","")</f>
        <v/>
      </c>
      <c r="D4" s="80"/>
    </row>
    <row r="5" spans="1:6" x14ac:dyDescent="0.25">
      <c r="A5" s="9"/>
      <c r="B5" s="69" t="s">
        <v>42</v>
      </c>
      <c r="C5" s="9"/>
      <c r="D5" s="9"/>
    </row>
    <row r="6" spans="1:6" ht="18.75" thickBot="1" x14ac:dyDescent="0.3">
      <c r="A6" s="10"/>
      <c r="B6" s="207" t="s">
        <v>106</v>
      </c>
      <c r="C6" s="207"/>
      <c r="D6" s="7" t="s">
        <v>4</v>
      </c>
    </row>
    <row r="7" spans="1:6" ht="18.75" hidden="1" thickBot="1" x14ac:dyDescent="0.3">
      <c r="A7" s="10"/>
      <c r="B7" s="3"/>
      <c r="C7" s="7"/>
      <c r="D7" s="11"/>
    </row>
    <row r="8" spans="1:6" ht="51" thickBot="1" x14ac:dyDescent="0.3">
      <c r="A8" s="72" t="s">
        <v>39</v>
      </c>
      <c r="B8" s="73" t="s">
        <v>43</v>
      </c>
      <c r="C8" s="74" t="s">
        <v>59</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thickBot="1" x14ac:dyDescent="0.3">
      <c r="A18" s="89">
        <v>10</v>
      </c>
      <c r="B18" s="66"/>
      <c r="C18" s="53"/>
      <c r="D18" s="65"/>
      <c r="E18" s="13"/>
    </row>
    <row r="19" spans="1:5" x14ac:dyDescent="0.25">
      <c r="A19" s="9"/>
      <c r="B19" s="4" t="str">
        <f>IF(COUNTA(rfrnms)&lt;&gt;COUNT(rfravs)," Mismatch between number of Names and number of Averages. Please check.","")</f>
        <v/>
      </c>
      <c r="C19" s="12"/>
      <c r="D19" s="12"/>
    </row>
    <row r="20" spans="1:5" x14ac:dyDescent="0.25">
      <c r="B20" s="4" t="str">
        <f>IF(COUNTA(rfrjs)&gt;COUNTA(rfrnms)," There are more Juns/Sens than the total number of entrants","")</f>
        <v/>
      </c>
    </row>
    <row r="21" spans="1:5" x14ac:dyDescent="0.25">
      <c r="B21" s="4"/>
    </row>
  </sheetData>
  <sheetProtection algorithmName="SHA-512" hashValue="2Axdp4JHoXqsTlUT2xjdgusev+Db/GX3/RzkuMIHTwlplFyUGEMuMh+V67XffYxuvY4mDQtGunl9QZl6Ynzakw==" saltValue="Ar25HzBDKJAdeKOZE7Utjw==" spinCount="100000" sheet="1" objects="1" selectLockedCells="1"/>
  <mergeCells count="4">
    <mergeCell ref="A1:E1"/>
    <mergeCell ref="A2:E2"/>
    <mergeCell ref="A3:E3"/>
    <mergeCell ref="B6:C6"/>
  </mergeCells>
  <dataValidations count="3">
    <dataValidation type="decimal" allowBlank="1" showInputMessage="1" showErrorMessage="1" errorTitle="Data error" error="Average must be between 1 and 300." sqref="C11:C18" xr:uid="{83C886CF-FA56-4D0E-B986-FED1ACB65717}">
      <formula1>1</formula1>
      <formula2>300</formula2>
    </dataValidation>
    <dataValidation type="custom" allowBlank="1" showInputMessage="1" showErrorMessage="1" errorTitle="Data error" error="Enter J or S (upper or lower case) to make an entry in the Junior or Senior competition." sqref="D9:D18" xr:uid="{D1439F4B-03B9-4C84-AD72-C5332BDEA76E}">
      <formula1>OR(D9="J",D9="J",D9="s",D9="S")</formula1>
    </dataValidation>
    <dataValidation type="decimal" allowBlank="1" showInputMessage="1" showErrorMessage="1" errorTitle="Data error" error="Average must be between 1 and 200." sqref="C9:C10" xr:uid="{9B5619AC-7B7B-428D-89CB-74890CE64AF6}">
      <formula1>1</formula1>
      <formula2>200</formula2>
    </dataValidation>
  </dataValidations>
  <hyperlinks>
    <hyperlink ref="B4" location="summrfr" display="Go to Summary sheet" xr:uid="{CD44075D-CD7F-4693-B58A-596EF5EBB773}"/>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77FEC-0A2A-4636-9167-37978214298A}">
  <sheetPr codeName="Sheet56">
    <tabColor rgb="FFFFC000"/>
  </sheetPr>
  <dimension ref="A1:G39"/>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IF(COUNTIFS(srrerrs,"?*")&gt;0,"Errors on the sheet, please see below the table","")</f>
        <v/>
      </c>
    </row>
    <row r="5" spans="1:7" x14ac:dyDescent="0.25">
      <c r="A5" s="9"/>
      <c r="B5" s="69" t="s">
        <v>41</v>
      </c>
      <c r="C5" s="9"/>
      <c r="D5" s="9"/>
    </row>
    <row r="6" spans="1:7" ht="18.75" thickBot="1" x14ac:dyDescent="0.3">
      <c r="A6" s="10"/>
      <c r="B6" s="207" t="s">
        <v>98</v>
      </c>
      <c r="C6" s="207"/>
      <c r="D6" s="207"/>
      <c r="E6" s="8" t="s">
        <v>3</v>
      </c>
      <c r="F6" s="11"/>
    </row>
    <row r="7" spans="1:7" ht="18.75" hidden="1" thickBot="1" x14ac:dyDescent="0.3">
      <c r="A7" s="10"/>
      <c r="B7" s="2"/>
      <c r="D7" s="8"/>
      <c r="F7" s="11"/>
    </row>
    <row r="8" spans="1:7" ht="51" thickBot="1" x14ac:dyDescent="0.3">
      <c r="A8" s="72" t="s">
        <v>38</v>
      </c>
      <c r="B8" s="73" t="s">
        <v>43</v>
      </c>
      <c r="C8" s="74" t="s">
        <v>48</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IF(AND(B10&lt;&gt;"",D10="",F10=""),"x","")</f>
        <v/>
      </c>
    </row>
    <row r="11" spans="1:7" ht="15" customHeight="1" x14ac:dyDescent="0.25">
      <c r="A11" s="89">
        <v>3</v>
      </c>
      <c r="B11" s="51"/>
      <c r="C11" s="19"/>
      <c r="D11" s="20"/>
      <c r="E11" s="20"/>
      <c r="F11" s="52"/>
      <c r="G11" s="68" t="str">
        <f>IF(AND(B11&lt;&gt;"",D11="",F11=""),"x","")</f>
        <v/>
      </c>
    </row>
    <row r="12" spans="1:7" ht="15" customHeight="1" x14ac:dyDescent="0.25">
      <c r="A12" s="89">
        <v>4</v>
      </c>
      <c r="B12" s="51"/>
      <c r="C12" s="19"/>
      <c r="D12" s="20"/>
      <c r="E12" s="20"/>
      <c r="F12" s="52"/>
      <c r="G12" s="68" t="str">
        <f>IF(AND(B12&lt;&gt;"",D12="",F12=""),"x","")</f>
        <v/>
      </c>
    </row>
    <row r="13" spans="1:7" ht="15" customHeight="1" x14ac:dyDescent="0.25">
      <c r="A13" s="89">
        <v>5</v>
      </c>
      <c r="B13" s="51"/>
      <c r="C13" s="19"/>
      <c r="D13" s="20"/>
      <c r="E13" s="20"/>
      <c r="F13" s="52"/>
      <c r="G13" s="68" t="str">
        <f t="shared" ref="G13:G33" si="0">IF(AND(B13&lt;&gt;"",D13="",F13=""),"x","")</f>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IF(AND(B17&lt;&gt;"",D17="",F17=""),"x","")</f>
        <v/>
      </c>
    </row>
    <row r="18" spans="1:7" ht="15" customHeight="1" x14ac:dyDescent="0.25">
      <c r="A18" s="89">
        <v>10</v>
      </c>
      <c r="B18" s="51"/>
      <c r="C18" s="19"/>
      <c r="D18" s="20"/>
      <c r="E18" s="20"/>
      <c r="F18" s="52"/>
      <c r="G18" s="68" t="str">
        <f>IF(AND(B18&lt;&gt;"",D18="",F18=""),"x","")</f>
        <v/>
      </c>
    </row>
    <row r="19" spans="1:7" ht="15" customHeight="1" x14ac:dyDescent="0.25">
      <c r="A19" s="89">
        <v>11</v>
      </c>
      <c r="B19" s="51"/>
      <c r="C19" s="19"/>
      <c r="D19" s="20"/>
      <c r="E19" s="20"/>
      <c r="F19" s="52"/>
      <c r="G19" s="68" t="str">
        <f>IF(AND(B19&lt;&gt;"",D19="",F19=""),"x","")</f>
        <v/>
      </c>
    </row>
    <row r="20" spans="1:7" ht="15" customHeight="1" x14ac:dyDescent="0.25">
      <c r="A20" s="89">
        <v>12</v>
      </c>
      <c r="B20" s="51"/>
      <c r="C20" s="19"/>
      <c r="D20" s="20"/>
      <c r="E20" s="20"/>
      <c r="F20" s="52"/>
      <c r="G20" s="68" t="str">
        <f>IF(AND(B20&lt;&gt;"",D20="",F20=""),"x","")</f>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x14ac:dyDescent="0.25">
      <c r="A28" s="89">
        <v>20</v>
      </c>
      <c r="B28" s="51"/>
      <c r="C28" s="19"/>
      <c r="D28" s="20"/>
      <c r="E28" s="20"/>
      <c r="F28" s="52"/>
      <c r="G28" s="68" t="str">
        <f t="shared" si="0"/>
        <v/>
      </c>
    </row>
    <row r="29" spans="1:7" ht="15" customHeight="1" x14ac:dyDescent="0.25">
      <c r="A29" s="89">
        <v>21</v>
      </c>
      <c r="B29" s="51"/>
      <c r="C29" s="19"/>
      <c r="D29" s="20"/>
      <c r="E29" s="20"/>
      <c r="F29" s="52"/>
      <c r="G29" s="68" t="str">
        <f t="shared" si="0"/>
        <v/>
      </c>
    </row>
    <row r="30" spans="1:7" ht="15" customHeight="1" x14ac:dyDescent="0.25">
      <c r="A30" s="89">
        <v>22</v>
      </c>
      <c r="B30" s="51"/>
      <c r="C30" s="19"/>
      <c r="D30" s="20"/>
      <c r="E30" s="20"/>
      <c r="F30" s="52"/>
      <c r="G30" s="68" t="str">
        <f t="shared" si="0"/>
        <v/>
      </c>
    </row>
    <row r="31" spans="1:7" ht="15" customHeight="1" x14ac:dyDescent="0.25">
      <c r="A31" s="89">
        <v>23</v>
      </c>
      <c r="B31" s="51"/>
      <c r="C31" s="19"/>
      <c r="D31" s="20"/>
      <c r="E31" s="20"/>
      <c r="F31" s="52"/>
      <c r="G31" s="68" t="str">
        <f t="shared" si="0"/>
        <v/>
      </c>
    </row>
    <row r="32" spans="1:7" ht="15" customHeight="1" x14ac:dyDescent="0.25">
      <c r="A32" s="89">
        <v>24</v>
      </c>
      <c r="B32" s="51"/>
      <c r="C32" s="19"/>
      <c r="D32" s="20"/>
      <c r="E32" s="20"/>
      <c r="F32" s="52"/>
      <c r="G32" s="68" t="str">
        <f t="shared" si="0"/>
        <v/>
      </c>
    </row>
    <row r="33" spans="1:7" ht="15" customHeight="1" thickBot="1" x14ac:dyDescent="0.3">
      <c r="A33" s="89">
        <v>25</v>
      </c>
      <c r="B33" s="55"/>
      <c r="C33" s="53"/>
      <c r="D33" s="56"/>
      <c r="E33" s="56"/>
      <c r="F33" s="54"/>
      <c r="G33" s="68" t="str">
        <f t="shared" si="0"/>
        <v/>
      </c>
    </row>
    <row r="34" spans="1:7" x14ac:dyDescent="0.25">
      <c r="B34" s="4" t="str">
        <f>IF(COUNTA(srrnms)&gt;COUNT(srravs)," There are more Names than Averages. Please check.","")</f>
        <v/>
      </c>
    </row>
    <row r="35" spans="1:7" x14ac:dyDescent="0.25">
      <c r="B35" s="4" t="str">
        <f>IF(COUNTA(srrnms)&lt;COUNT(srravs)," There are more Averages than Names. Please check.","")</f>
        <v/>
      </c>
    </row>
    <row r="36" spans="1:7" x14ac:dyDescent="0.25">
      <c r="B36" s="4" t="str">
        <f>IF(AND(COUNTA(srrtms)&gt;0,MOD(COUNTA(srrtms),3)&lt;&gt;0)," The number of team letters must be a multiple of 3.","")</f>
        <v/>
      </c>
    </row>
    <row r="37" spans="1:7" x14ac:dyDescent="0.25">
      <c r="B37" s="4" t="str">
        <f>IF(COUNTA(srrjs)&gt;COUNTA(srrinds)," There are more Juns/Sens than the number of individual entrants","")</f>
        <v/>
      </c>
    </row>
    <row r="38" spans="1:7" x14ac:dyDescent="0.25">
      <c r="B38" s="4" t="str">
        <f>IF(COUNTA(srrtms)&gt;COUNTA(srrnms)," There are more team letters than potential  team members.","")</f>
        <v/>
      </c>
    </row>
    <row r="39" spans="1:7" x14ac:dyDescent="0.25">
      <c r="B39" s="4" t="str">
        <f>IF(COUNTIFS(srrchk,"?*")&gt;0," Name entered neither as an Individual nor as a Team member. See 'x' at side.","")</f>
        <v/>
      </c>
    </row>
  </sheetData>
  <sheetProtection algorithmName="SHA-512" hashValue="G3X4EQemMdEPYQHaggTOUXN8AITc8nYDmVDinzpNur55RrDdAQ6TI1520F5TngmKPtzdlFuxptMHhX1S6Y5nbg==" saltValue="fNtUM6eIMljxLR/p4HM8PA==" spinCount="100000" sheet="1" objects="1" selectLockedCells="1"/>
  <mergeCells count="4">
    <mergeCell ref="B1:F1"/>
    <mergeCell ref="B2:F2"/>
    <mergeCell ref="B3:F3"/>
    <mergeCell ref="B6:D6"/>
  </mergeCells>
  <dataValidations count="6">
    <dataValidation type="decimal" allowBlank="1" showInputMessage="1" showErrorMessage="1" errorTitle="Data error" error="Averages must be a decimal number between 1 and 100." sqref="C11:C33" xr:uid="{4D7509B9-F292-48BD-8434-1E3420F9EFEF}">
      <formula1>1</formula1>
      <formula2>100</formula2>
    </dataValidation>
    <dataValidation type="custom" allowBlank="1" showInputMessage="1" showErrorMessage="1" errorTitle="Data Error" error="Enter 'x' or 'X' for Individual entrants." sqref="D9:D33" xr:uid="{66444AC9-60BE-42D7-B9E8-E209DCBD9293}">
      <formula1>OR(EXACT(D9,"x"),EXACT(D9,"X"))</formula1>
    </dataValidation>
    <dataValidation type="custom" allowBlank="1" showInputMessage="1" showErrorMessage="1" errorTitle="Data error" error="Team letters must be one-charcater alphabetic." sqref="F9:F33" xr:uid="{59A12B5B-5EEF-4874-B74B-41A251B28822}">
      <formula1>AND(LEN(F9)=1,ISTEXT(F9))</formula1>
    </dataValidation>
    <dataValidation type="custom" allowBlank="1" showInputMessage="1" showErrorMessage="1" errorTitle="Data error" error="error" sqref="K9" xr:uid="{12051334-85F9-48F6-B156-BA73ACFAAD0C}">
      <formula1>AND(LEN(F9)=1,ISTEXT(F9))</formula1>
    </dataValidation>
    <dataValidation type="custom" allowBlank="1" showInputMessage="1" showErrorMessage="1" errorTitle="Data error" error="Enter 'J' or  S' (upper or lower case) to make an entry to the Junior or Senior competition." sqref="E9:E33" xr:uid="{499DCCA6-350D-41B8-8861-B354AB09B62C}">
      <formula1>OR(E9="J",E9="J",E9="s",E9="S")</formula1>
    </dataValidation>
    <dataValidation type="decimal" allowBlank="1" showInputMessage="1" showErrorMessage="1" errorTitle="Data error" error="Averages must be a decimal number between 1 and 200." sqref="C9:C10" xr:uid="{FE49B63E-7D10-4171-98F2-8C3FE93A9E49}">
      <formula1>1</formula1>
      <formula2>200</formula2>
    </dataValidation>
  </dataValidations>
  <hyperlinks>
    <hyperlink ref="B4" location="summsrr" display="Go to Summary sheet" xr:uid="{7B181431-0745-4680-B36D-70692EA75522}"/>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40F0C-3ECC-4172-8983-B3D62EC3EDB9}">
  <sheetPr codeName="Sheet57">
    <tabColor rgb="FF0070C0"/>
  </sheetPr>
  <dimension ref="A1:G44"/>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IF(COUNTIFS(sprterrs,"?*")&gt;0,"Errors on the sheet, please see below the table","")</f>
        <v/>
      </c>
    </row>
    <row r="5" spans="1:7" x14ac:dyDescent="0.25">
      <c r="A5" s="9"/>
      <c r="B5" s="69" t="s">
        <v>41</v>
      </c>
      <c r="C5" s="9"/>
      <c r="D5" s="9"/>
    </row>
    <row r="6" spans="1:7" ht="18.75" thickBot="1" x14ac:dyDescent="0.3">
      <c r="A6" s="10"/>
      <c r="B6" s="207" t="s">
        <v>93</v>
      </c>
      <c r="C6" s="207"/>
      <c r="D6" s="207"/>
      <c r="E6" s="8" t="s">
        <v>3</v>
      </c>
      <c r="F6" s="11"/>
    </row>
    <row r="7" spans="1:7" ht="18.75" hidden="1" thickBot="1" x14ac:dyDescent="0.3">
      <c r="A7" s="10"/>
      <c r="B7" s="2"/>
      <c r="D7" s="8"/>
      <c r="F7" s="11"/>
    </row>
    <row r="8" spans="1:7" ht="51" thickBot="1" x14ac:dyDescent="0.3">
      <c r="A8" s="72" t="s">
        <v>38</v>
      </c>
      <c r="B8" s="73" t="s">
        <v>43</v>
      </c>
      <c r="C8" s="74" t="s">
        <v>48</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38"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x14ac:dyDescent="0.25">
      <c r="A28" s="89">
        <v>20</v>
      </c>
      <c r="B28" s="51"/>
      <c r="C28" s="19"/>
      <c r="D28" s="20"/>
      <c r="E28" s="20"/>
      <c r="F28" s="52"/>
      <c r="G28" s="68" t="str">
        <f t="shared" si="0"/>
        <v/>
      </c>
    </row>
    <row r="29" spans="1:7" ht="15" customHeight="1" x14ac:dyDescent="0.25">
      <c r="A29" s="89">
        <v>21</v>
      </c>
      <c r="B29" s="51"/>
      <c r="C29" s="19"/>
      <c r="D29" s="20"/>
      <c r="E29" s="20"/>
      <c r="F29" s="52"/>
      <c r="G29" s="68" t="str">
        <f t="shared" si="0"/>
        <v/>
      </c>
    </row>
    <row r="30" spans="1:7" ht="15" customHeight="1" x14ac:dyDescent="0.25">
      <c r="A30" s="89">
        <v>22</v>
      </c>
      <c r="B30" s="51"/>
      <c r="C30" s="19"/>
      <c r="D30" s="20"/>
      <c r="E30" s="20"/>
      <c r="F30" s="52"/>
      <c r="G30" s="68" t="str">
        <f t="shared" si="0"/>
        <v/>
      </c>
    </row>
    <row r="31" spans="1:7" ht="15" customHeight="1" x14ac:dyDescent="0.25">
      <c r="A31" s="89">
        <v>23</v>
      </c>
      <c r="B31" s="51"/>
      <c r="C31" s="19"/>
      <c r="D31" s="20"/>
      <c r="E31" s="20"/>
      <c r="F31" s="52"/>
      <c r="G31" s="68" t="str">
        <f t="shared" si="0"/>
        <v/>
      </c>
    </row>
    <row r="32" spans="1:7" ht="15" customHeight="1" x14ac:dyDescent="0.25">
      <c r="A32" s="89">
        <v>24</v>
      </c>
      <c r="B32" s="51"/>
      <c r="C32" s="19"/>
      <c r="D32" s="20"/>
      <c r="E32" s="20"/>
      <c r="F32" s="52"/>
      <c r="G32" s="68" t="str">
        <f t="shared" si="0"/>
        <v/>
      </c>
    </row>
    <row r="33" spans="1:7" ht="15" customHeight="1" x14ac:dyDescent="0.25">
      <c r="A33" s="89">
        <v>25</v>
      </c>
      <c r="B33" s="51"/>
      <c r="C33" s="19"/>
      <c r="D33" s="20"/>
      <c r="E33" s="20"/>
      <c r="F33" s="52"/>
      <c r="G33" s="68" t="str">
        <f t="shared" si="0"/>
        <v/>
      </c>
    </row>
    <row r="34" spans="1:7" ht="15" customHeight="1" x14ac:dyDescent="0.25">
      <c r="A34" s="89">
        <v>26</v>
      </c>
      <c r="B34" s="51"/>
      <c r="C34" s="19"/>
      <c r="D34" s="20"/>
      <c r="E34" s="20"/>
      <c r="F34" s="52"/>
      <c r="G34" s="68" t="str">
        <f t="shared" si="0"/>
        <v/>
      </c>
    </row>
    <row r="35" spans="1:7" ht="15" customHeight="1" x14ac:dyDescent="0.25">
      <c r="A35" s="89">
        <v>27</v>
      </c>
      <c r="B35" s="51"/>
      <c r="C35" s="19"/>
      <c r="D35" s="20"/>
      <c r="E35" s="20"/>
      <c r="F35" s="52"/>
      <c r="G35" s="68" t="str">
        <f t="shared" si="0"/>
        <v/>
      </c>
    </row>
    <row r="36" spans="1:7" ht="15" customHeight="1" x14ac:dyDescent="0.25">
      <c r="A36" s="89">
        <v>28</v>
      </c>
      <c r="B36" s="51"/>
      <c r="C36" s="19"/>
      <c r="D36" s="20"/>
      <c r="E36" s="20"/>
      <c r="F36" s="52"/>
      <c r="G36" s="68" t="str">
        <f t="shared" si="0"/>
        <v/>
      </c>
    </row>
    <row r="37" spans="1:7" ht="15" customHeight="1" x14ac:dyDescent="0.25">
      <c r="A37" s="89">
        <v>29</v>
      </c>
      <c r="B37" s="51"/>
      <c r="C37" s="19"/>
      <c r="D37" s="20"/>
      <c r="E37" s="20"/>
      <c r="F37" s="52"/>
      <c r="G37" s="68" t="str">
        <f t="shared" si="0"/>
        <v/>
      </c>
    </row>
    <row r="38" spans="1:7" ht="15" customHeight="1" thickBot="1" x14ac:dyDescent="0.3">
      <c r="A38" s="89">
        <v>30</v>
      </c>
      <c r="B38" s="55"/>
      <c r="C38" s="53"/>
      <c r="D38" s="56"/>
      <c r="E38" s="56"/>
      <c r="F38" s="54"/>
      <c r="G38" s="68" t="str">
        <f t="shared" si="0"/>
        <v/>
      </c>
    </row>
    <row r="39" spans="1:7" x14ac:dyDescent="0.25">
      <c r="B39" s="4" t="str">
        <f>IF(COUNTA(sprtnms)&gt;COUNT(sprtavs)," There are more Names than Averages. Please check.","")</f>
        <v/>
      </c>
    </row>
    <row r="40" spans="1:7" x14ac:dyDescent="0.25">
      <c r="B40" s="4" t="str">
        <f>IF(COUNTA(sprtnms)&lt;COUNT(sprtavs)," There are more Averages than Names. Please check.","")</f>
        <v/>
      </c>
    </row>
    <row r="41" spans="1:7" x14ac:dyDescent="0.25">
      <c r="B41" s="4" t="str">
        <f>IF(AND(COUNTA(sprttms)&gt;0,MOD(COUNTA(sprttms),3)&lt;&gt;0)," The number of team letters must be a multiple of 3.","")</f>
        <v/>
      </c>
    </row>
    <row r="42" spans="1:7" x14ac:dyDescent="0.25">
      <c r="B42" s="4" t="str">
        <f>IF(COUNTA(sprtjs)&gt;COUNTA(sprtinds)," There are more Juns/Sens than the number of individual entrants","")</f>
        <v/>
      </c>
    </row>
    <row r="43" spans="1:7" x14ac:dyDescent="0.25">
      <c r="B43" s="4" t="str">
        <f>IF(COUNTA(sprttms)&gt;COUNTA(sprtnms)," There are more team letters than potential  team members.","")</f>
        <v/>
      </c>
    </row>
    <row r="44" spans="1:7" x14ac:dyDescent="0.25">
      <c r="B44" s="4" t="str">
        <f>IF(COUNTIFS(sprtchk,"?*")&gt;0," Name entered neither as an Individual nor as a Team member. See 'x' at side.","")</f>
        <v/>
      </c>
    </row>
  </sheetData>
  <sheetProtection algorithmName="SHA-512" hashValue="Q8aBTutO60h0HZ0R/mdNm2GQY1QehQyq8bbhHc8LNU+TVzReIy50MdV06zk+lZzZb8hDMWMEATbDgbByfL69Dw==" saltValue="gGQ0t0BanTaVsgGeR0vXKA==" spinCount="100000" sheet="1" objects="1" selectLockedCells="1"/>
  <mergeCells count="4">
    <mergeCell ref="B1:F1"/>
    <mergeCell ref="B2:F2"/>
    <mergeCell ref="B3:F3"/>
    <mergeCell ref="B6:D6"/>
  </mergeCells>
  <dataValidations count="6">
    <dataValidation type="decimal" allowBlank="1" showInputMessage="1" showErrorMessage="1" errorTitle="Data error" error="Averages must be a decimal number between 1 and 100." sqref="C11:C38" xr:uid="{D3699D6F-5C16-4BBB-855C-C61CED508330}">
      <formula1>1</formula1>
      <formula2>100</formula2>
    </dataValidation>
    <dataValidation type="custom" allowBlank="1" showInputMessage="1" showErrorMessage="1" errorTitle="Data Error" error="Enter 'x' or 'X' for Individual entrants." sqref="D9:D38" xr:uid="{20AA7332-BCBC-4523-9606-FC9F8901CA68}">
      <formula1>OR(EXACT(D9,"x"),EXACT(D9,"X"))</formula1>
    </dataValidation>
    <dataValidation type="custom" allowBlank="1" showInputMessage="1" showErrorMessage="1" errorTitle="Data error" error="Team letters must be one-charcater alphabetic." sqref="F9:F38" xr:uid="{BA4DCF50-BEE5-4A70-AD6E-6400AFB63CB6}">
      <formula1>AND(LEN(F9)=1,ISTEXT(F9))</formula1>
    </dataValidation>
    <dataValidation type="custom" allowBlank="1" showInputMessage="1" showErrorMessage="1" errorTitle="Data error" error="error" sqref="K9" xr:uid="{AC594CC2-5C7D-42FE-906A-8DCEC17B4365}">
      <formula1>AND(LEN(F9)=1,ISTEXT(F9))</formula1>
    </dataValidation>
    <dataValidation type="custom" allowBlank="1" showInputMessage="1" showErrorMessage="1" errorTitle="Data error" error="Enter 'J' or  S' (upper or lower case) to make an entry to the Junior or Senior competition." sqref="E9:E38" xr:uid="{D4E814F5-C50F-4B0C-85E5-6091A042F474}">
      <formula1>OR(E9="J",E9="J",E9="s",E9="S")</formula1>
    </dataValidation>
    <dataValidation type="decimal" allowBlank="1" showInputMessage="1" showErrorMessage="1" errorTitle="Data error" error="Averages must be a decimal number between 1 and 200." sqref="C9:C10" xr:uid="{B6F52CEC-7221-4FE6-A230-55758C8E3F84}">
      <formula1>1</formula1>
      <formula2>200</formula2>
    </dataValidation>
  </dataValidations>
  <hyperlinks>
    <hyperlink ref="B4" location="summsprt" display="Go to Summary sheet" xr:uid="{9C5BA7F5-3719-471A-8C30-93400C16A41D}"/>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DB9E-EF7D-40F5-B05C-C689B892A88B}">
  <sheetPr codeName="Sheet4">
    <tabColor rgb="FF660066"/>
    <pageSetUpPr fitToPage="1"/>
  </sheetPr>
  <dimension ref="A1:L65"/>
  <sheetViews>
    <sheetView showGridLines="0" showRowColHeaders="0" topLeftCell="A11" zoomScaleNormal="100" workbookViewId="0">
      <selection activeCell="B33" sqref="B33"/>
    </sheetView>
  </sheetViews>
  <sheetFormatPr defaultColWidth="8.85546875" defaultRowHeight="15" x14ac:dyDescent="0.25"/>
  <cols>
    <col min="1" max="1" width="3.7109375" customWidth="1"/>
    <col min="2" max="2" width="38.42578125" customWidth="1"/>
    <col min="3" max="3" width="11.42578125" bestFit="1" customWidth="1"/>
    <col min="4" max="4" width="8.28515625" style="24" customWidth="1"/>
    <col min="5" max="5" width="8.28515625" customWidth="1"/>
    <col min="6" max="6" width="6.140625" customWidth="1"/>
    <col min="7" max="7" width="5.42578125" customWidth="1"/>
    <col min="8" max="8" width="38.42578125" customWidth="1"/>
    <col min="9" max="9" width="11.42578125" bestFit="1" customWidth="1"/>
    <col min="10" max="11" width="7.7109375" customWidth="1"/>
    <col min="12" max="12" width="6.140625" customWidth="1"/>
  </cols>
  <sheetData>
    <row r="1" spans="1:12" s="25" customFormat="1" ht="24" customHeight="1" x14ac:dyDescent="0.4">
      <c r="B1" s="198" t="s">
        <v>8</v>
      </c>
      <c r="C1" s="198"/>
      <c r="D1" s="198"/>
      <c r="E1" s="198"/>
      <c r="F1" s="198"/>
      <c r="G1" s="198"/>
      <c r="H1" s="198"/>
      <c r="I1" s="198"/>
      <c r="J1" s="198"/>
      <c r="K1" s="198"/>
      <c r="L1" s="198"/>
    </row>
    <row r="2" spans="1:12" ht="23.25" customHeight="1" x14ac:dyDescent="0.4">
      <c r="B2" s="198" t="str">
        <f>season</f>
        <v>Winter 2025-26 Leagues</v>
      </c>
      <c r="C2" s="198"/>
      <c r="D2" s="198"/>
      <c r="E2" s="198"/>
      <c r="F2" s="198"/>
      <c r="G2" s="198"/>
      <c r="H2" s="198"/>
      <c r="I2" s="198"/>
      <c r="J2" s="198"/>
      <c r="K2" s="198"/>
      <c r="L2" s="198"/>
    </row>
    <row r="3" spans="1:12" ht="22.5" customHeight="1" x14ac:dyDescent="0.35">
      <c r="B3" s="202" t="str">
        <f>CONCATENATE("Summary of Entries from ", clubname)</f>
        <v>Summary of Entries from your club</v>
      </c>
      <c r="C3" s="202"/>
      <c r="D3" s="202"/>
      <c r="E3" s="202"/>
      <c r="F3" s="202"/>
      <c r="G3" s="202"/>
      <c r="H3" s="202"/>
      <c r="I3" s="202"/>
      <c r="J3" s="202"/>
      <c r="K3" s="202"/>
      <c r="L3" s="202"/>
    </row>
    <row r="4" spans="1:12" ht="24" customHeight="1" x14ac:dyDescent="0.3">
      <c r="B4" s="201" t="s">
        <v>36</v>
      </c>
      <c r="C4" s="201"/>
      <c r="D4" s="201"/>
      <c r="E4" s="201"/>
      <c r="F4" s="201"/>
      <c r="G4" s="201"/>
      <c r="H4" s="201"/>
      <c r="I4" s="201"/>
      <c r="J4" s="201"/>
      <c r="K4" s="201"/>
      <c r="L4" s="201"/>
    </row>
    <row r="5" spans="1:12" ht="15.75" thickBot="1" x14ac:dyDescent="0.3">
      <c r="A5" s="27"/>
    </row>
    <row r="6" spans="1:12" ht="15" customHeight="1" x14ac:dyDescent="0.3">
      <c r="B6" s="199" t="s">
        <v>67</v>
      </c>
      <c r="C6" s="200"/>
      <c r="G6" s="104"/>
      <c r="H6" s="105"/>
      <c r="I6" s="105"/>
      <c r="J6" s="105"/>
      <c r="K6" s="105"/>
      <c r="L6" s="105"/>
    </row>
    <row r="7" spans="1:12" ht="15" customHeight="1" x14ac:dyDescent="0.3">
      <c r="B7" s="116" t="s">
        <v>58</v>
      </c>
      <c r="C7" s="117">
        <v>4</v>
      </c>
      <c r="G7" s="105"/>
      <c r="H7" s="105"/>
      <c r="I7" s="105"/>
      <c r="J7" s="105"/>
      <c r="K7" s="105"/>
      <c r="L7" s="105"/>
    </row>
    <row r="8" spans="1:12" ht="15" customHeight="1" x14ac:dyDescent="0.3">
      <c r="B8" s="118" t="s">
        <v>53</v>
      </c>
      <c r="C8" s="119">
        <v>6</v>
      </c>
      <c r="G8" s="105"/>
      <c r="H8" s="105"/>
      <c r="I8" s="105"/>
      <c r="J8" s="105"/>
      <c r="K8" s="105"/>
      <c r="L8" s="105"/>
    </row>
    <row r="9" spans="1:12" ht="15" customHeight="1" thickBot="1" x14ac:dyDescent="0.35">
      <c r="B9" s="120" t="s">
        <v>37</v>
      </c>
      <c r="C9" s="121">
        <v>12</v>
      </c>
      <c r="G9" s="105"/>
      <c r="H9" s="105"/>
      <c r="I9" s="105"/>
      <c r="J9" s="105"/>
      <c r="K9" s="105"/>
      <c r="L9" s="105"/>
    </row>
    <row r="10" spans="1:12" s="102" customFormat="1" ht="53.25" customHeight="1" x14ac:dyDescent="0.25">
      <c r="B10" s="203" t="s">
        <v>108</v>
      </c>
      <c r="C10" s="204"/>
      <c r="D10" s="204"/>
      <c r="E10" s="204"/>
      <c r="F10" s="204"/>
      <c r="G10" s="204"/>
      <c r="H10" s="204"/>
      <c r="I10" s="204"/>
      <c r="J10" s="204"/>
      <c r="K10" s="204"/>
      <c r="L10" s="204"/>
    </row>
    <row r="11" spans="1:12" s="1" customFormat="1" ht="27.75" customHeight="1" x14ac:dyDescent="0.25">
      <c r="B11" s="22" t="s">
        <v>22</v>
      </c>
      <c r="C11" s="86" t="s">
        <v>23</v>
      </c>
      <c r="D11" s="5" t="s">
        <v>1</v>
      </c>
      <c r="E11" s="6" t="s">
        <v>2</v>
      </c>
      <c r="F11" s="5" t="s">
        <v>57</v>
      </c>
      <c r="H11" s="22" t="s">
        <v>22</v>
      </c>
      <c r="I11" s="86" t="s">
        <v>23</v>
      </c>
      <c r="J11" s="5" t="s">
        <v>1</v>
      </c>
      <c r="K11" s="6" t="s">
        <v>2</v>
      </c>
      <c r="L11" s="5" t="s">
        <v>57</v>
      </c>
    </row>
    <row r="12" spans="1:12" s="1" customFormat="1" ht="15" customHeight="1" x14ac:dyDescent="0.3">
      <c r="B12" s="21" t="s">
        <v>25</v>
      </c>
      <c r="C12" s="35" t="s">
        <v>5</v>
      </c>
      <c r="D12" s="36" t="str" cm="1">
        <f t="array" ref="D12">IF(COUNTA(apinds)-SUMPRODUCT(--(LEN(TRIM(apjs))&gt;0))&gt;0,COUNTA(apinds)-SUMPRODUCT(--(LEN(TRIM(apjs))&gt;0)),"")</f>
        <v/>
      </c>
      <c r="E12" s="39" t="str">
        <f>IF(D12&lt;&gt;"",D12*feeind,"")</f>
        <v/>
      </c>
      <c r="F12" s="183">
        <f>SUM(E12:E15)</f>
        <v>0</v>
      </c>
      <c r="H12" s="21" t="s">
        <v>75</v>
      </c>
      <c r="I12" s="35" t="s">
        <v>5</v>
      </c>
      <c r="J12" s="36" t="str" cm="1">
        <f t="array" ref="J12">IF(COUNTA(lbrinms)-SUMPRODUCT(--(LEN(TRIM(lbrijs))&gt;0))&gt;0,COUNTA(lbrinms)-SUMPRODUCT(--(LEN(TRIM(lbrijs))&gt;0)),"")</f>
        <v/>
      </c>
      <c r="K12" s="63" t="str">
        <f>IF(J12&lt;&gt;"",J12*feeind,"")</f>
        <v/>
      </c>
      <c r="L12" s="183">
        <f>SUM(K12:K14)</f>
        <v>0</v>
      </c>
    </row>
    <row r="13" spans="1:12" s="1" customFormat="1" ht="15" customHeight="1" x14ac:dyDescent="0.25">
      <c r="B13" s="23" t="str">
        <f>IF(COUNTIFS(aperrs,"?*")&gt;0,"Errors on the sheet, please fix","")</f>
        <v/>
      </c>
      <c r="C13" s="124" t="s">
        <v>6</v>
      </c>
      <c r="D13" s="37" t="str">
        <f>IF(COUNTIF(apjs,"J")&gt;0,COUNTIF(apjs,"J"),"")</f>
        <v/>
      </c>
      <c r="E13" s="40" t="str">
        <f>IF(D13&lt;&gt;"",D13*(feejs),"")</f>
        <v/>
      </c>
      <c r="F13" s="184"/>
      <c r="H13" s="23" t="str">
        <f>IF(COUNTIFS(lbrierrs,"?*")&gt;0,"Errors on the sheet, please check","")</f>
        <v/>
      </c>
      <c r="I13" s="124" t="s">
        <v>6</v>
      </c>
      <c r="J13" s="59" t="str">
        <f>IF(COUNTIF(lbrijs,"J")&gt;0,COUNTIF(lbrijs,"J"),"")</f>
        <v/>
      </c>
      <c r="K13" s="109" t="str">
        <f>IF(J13&lt;&gt;"",J13*feejs,"")</f>
        <v/>
      </c>
      <c r="L13" s="184"/>
    </row>
    <row r="14" spans="1:12" s="1" customFormat="1" ht="15" customHeight="1" x14ac:dyDescent="0.25">
      <c r="B14" s="43"/>
      <c r="C14" s="124" t="s">
        <v>7</v>
      </c>
      <c r="D14" s="37" t="str">
        <f>IF(COUNTIF(apjs,"S")&gt;0,COUNTIF(apjs,"S"),"")</f>
        <v/>
      </c>
      <c r="E14" s="40" t="str">
        <f>IF(D14&lt;&gt;"",D14*(feejs),"")</f>
        <v/>
      </c>
      <c r="F14" s="184"/>
      <c r="H14" s="58"/>
      <c r="I14" s="34" t="s">
        <v>7</v>
      </c>
      <c r="J14" s="60" t="str">
        <f>IF(COUNTIF(lbrijs,"S")&gt;0,COUNTIF(lbrijs,"S"),"")</f>
        <v/>
      </c>
      <c r="K14" s="62" t="str">
        <f>IF(J14&lt;&gt;"",J14*feejs,"")</f>
        <v/>
      </c>
      <c r="L14" s="185"/>
    </row>
    <row r="15" spans="1:12" s="1" customFormat="1" ht="15" customHeight="1" x14ac:dyDescent="0.3">
      <c r="B15" s="44"/>
      <c r="C15" s="34" t="s">
        <v>0</v>
      </c>
      <c r="D15" s="38" t="str">
        <f>IF(COUNTA(aptms)&gt;0,ROUNDDOWN(COUNTA(aptms)/3,0),"")</f>
        <v/>
      </c>
      <c r="E15" s="41" t="str">
        <f>IF(D15&lt;&gt;"",D15*feetm,"")</f>
        <v/>
      </c>
      <c r="F15" s="185"/>
      <c r="H15" s="21" t="s">
        <v>18</v>
      </c>
      <c r="I15" s="35" t="s">
        <v>5</v>
      </c>
      <c r="J15" s="36" t="str" cm="1">
        <f t="array" ref="J15">IF(COUNTA(lbpnms)-SUMPRODUCT(--(LEN(TRIM(lbpjs))&gt;0))&gt;0,COUNTA(lbpnms)-SUMPRODUCT(--(LEN(TRIM(lbpjs))&gt;0)),"")</f>
        <v/>
      </c>
      <c r="K15" s="39" t="str">
        <f>IF(J15&lt;&gt;"",J15*feeind,"")</f>
        <v/>
      </c>
      <c r="L15" s="183">
        <f>SUM(K15:K17)</f>
        <v>0</v>
      </c>
    </row>
    <row r="16" spans="1:12" s="1" customFormat="1" ht="15" customHeight="1" x14ac:dyDescent="0.3">
      <c r="B16" s="21" t="s">
        <v>27</v>
      </c>
      <c r="C16" s="35" t="s">
        <v>5</v>
      </c>
      <c r="D16" s="36" t="str" cm="1">
        <f t="array" ref="D16">IF(COUNTA(apsrnms)-SUMPRODUCT(--(LEN(TRIM(apsrjs))&gt;0))&gt;0,COUNTA(apsrnms)-SUMPRODUCT(--(LEN(TRIM(apsrjs))&gt;0)),"")</f>
        <v/>
      </c>
      <c r="E16" s="39" t="str">
        <f>IF(D16&lt;&gt;"",D16*feeind,"")</f>
        <v/>
      </c>
      <c r="F16" s="183">
        <f>SUM(E16:E18)</f>
        <v>0</v>
      </c>
      <c r="H16" s="23" t="str">
        <f>IF(COUNTIFS(lbperrs,"?*")&gt;0,"Errors on the sheet, please fix","")</f>
        <v/>
      </c>
      <c r="I16" s="124" t="s">
        <v>6</v>
      </c>
      <c r="J16" s="37" t="str">
        <f>IF(COUNTIF(lbpjs,"J")&gt;0,COUNTIF(lbpjs,"J"),"")</f>
        <v/>
      </c>
      <c r="K16" s="40" t="str">
        <f>IF(J16&lt;&gt;"",J16*(feejs),"")</f>
        <v/>
      </c>
      <c r="L16" s="184"/>
    </row>
    <row r="17" spans="2:12" s="1" customFormat="1" ht="15" customHeight="1" x14ac:dyDescent="0.25">
      <c r="B17" s="23" t="str">
        <f>IF(COUNTIFS(apsrerrs,"?*")&gt;0,"Errors on the sheet, please fix","")</f>
        <v/>
      </c>
      <c r="C17" s="124" t="s">
        <v>6</v>
      </c>
      <c r="D17" s="37" t="str">
        <f>IF(COUNTIF(apsrjs,"J")&gt;0,COUNTIF(apsrjs,"J"),"")</f>
        <v/>
      </c>
      <c r="E17" s="40" t="str">
        <f>IF(D17&lt;&gt;"",D17*(feejs),"")</f>
        <v/>
      </c>
      <c r="F17" s="184"/>
      <c r="H17" s="44"/>
      <c r="I17" s="34" t="s">
        <v>7</v>
      </c>
      <c r="J17" s="38" t="str">
        <f>IF(COUNTIF(lbpjs,"S")&gt;0,COUNTIF(lbpjs,"S"),"")</f>
        <v/>
      </c>
      <c r="K17" s="41" t="str">
        <f>IF(J17&lt;&gt;"",J17*(feejs),"")</f>
        <v/>
      </c>
      <c r="L17" s="185"/>
    </row>
    <row r="18" spans="2:12" s="1" customFormat="1" ht="15" customHeight="1" x14ac:dyDescent="0.3">
      <c r="B18" s="42"/>
      <c r="C18" s="34" t="s">
        <v>7</v>
      </c>
      <c r="D18" s="38" t="str">
        <f>IF(COUNTIF(apsrjs,"S")&gt;0,COUNTIF(apsrjs,"S"),"")</f>
        <v/>
      </c>
      <c r="E18" s="41" t="str">
        <f>IF(D18&lt;&gt;"",D18*(feejs),"")</f>
        <v/>
      </c>
      <c r="F18" s="185"/>
      <c r="H18" s="21" t="s">
        <v>29</v>
      </c>
      <c r="I18" s="35" t="s">
        <v>5</v>
      </c>
      <c r="J18" s="36" t="str" cm="1">
        <f t="array" ref="J18">IF(COUNTA(as100inds)-SUMPRODUCT(--(LEN(TRIM(as100js))&gt;0))&gt;0,COUNTA(as100inds)-SUMPRODUCT(--(LEN(TRIM(as100js))&gt;0)),"")</f>
        <v/>
      </c>
      <c r="K18" s="63" t="str">
        <f>IF(J18&lt;&gt;"",J18*feeind,"")</f>
        <v/>
      </c>
      <c r="L18" s="183">
        <f>SUM(K18:K21)</f>
        <v>0</v>
      </c>
    </row>
    <row r="19" spans="2:12" s="1" customFormat="1" ht="15" customHeight="1" x14ac:dyDescent="0.3">
      <c r="B19" s="21" t="s">
        <v>26</v>
      </c>
      <c r="C19" s="35" t="s">
        <v>5</v>
      </c>
      <c r="D19" s="36" t="str" cm="1">
        <f t="array" ref="D19">IF(COUNTA(arinds)-SUMPRODUCT(--(LEN(TRIM(arjs))&gt;0))&gt;0,COUNTA(arinds)-SUMPRODUCT(--(LEN(TRIM(arjs))&gt;0)),"")</f>
        <v/>
      </c>
      <c r="E19" s="39" t="str">
        <f>IF(D19&lt;&gt;"",D19*feeind,"")</f>
        <v/>
      </c>
      <c r="F19" s="183">
        <f>SUM(E19:E22)</f>
        <v>0</v>
      </c>
      <c r="H19" s="23" t="str">
        <f>IF(COUNTIFS(as100errs,"?*")&gt;0,"Errors on the sheet, please check","")</f>
        <v/>
      </c>
      <c r="I19" s="124" t="s">
        <v>6</v>
      </c>
      <c r="J19" s="59" t="str">
        <f>IF(COUNTIF(as100js,"J")&gt;0,COUNTIF(as100js,"J"),"")</f>
        <v/>
      </c>
      <c r="K19" s="109" t="str">
        <f>IF(J19&lt;&gt;"",J19*feejs,"")</f>
        <v/>
      </c>
      <c r="L19" s="184"/>
    </row>
    <row r="20" spans="2:12" s="1" customFormat="1" ht="15" customHeight="1" x14ac:dyDescent="0.25">
      <c r="B20" s="23" t="str">
        <f>IF(COUNTIFS(arerrs,"?*")&gt;0,"Errors on the sheet, please fix","")</f>
        <v/>
      </c>
      <c r="C20" s="124" t="s">
        <v>6</v>
      </c>
      <c r="D20" s="37" t="str">
        <f>IF(COUNTIF(arjs,"J")&gt;0,COUNTIF(arjs,"J"),"")</f>
        <v/>
      </c>
      <c r="E20" s="40" t="str">
        <f>IF(D20&lt;&gt;"",D20*(feejs),"")</f>
        <v/>
      </c>
      <c r="F20" s="184"/>
      <c r="H20" s="57"/>
      <c r="I20" s="124" t="s">
        <v>7</v>
      </c>
      <c r="J20" s="59" t="str">
        <f>IF(COUNTIF(as100js,"S")&gt;0,COUNTIF(as100js,"S"),"")</f>
        <v/>
      </c>
      <c r="K20" s="109" t="str">
        <f>IF(J20&lt;&gt;"",J20*feejs,"")</f>
        <v/>
      </c>
      <c r="L20" s="184"/>
    </row>
    <row r="21" spans="2:12" s="1" customFormat="1" ht="15" customHeight="1" x14ac:dyDescent="0.25">
      <c r="B21" s="43"/>
      <c r="C21" s="124" t="s">
        <v>7</v>
      </c>
      <c r="D21" s="37" t="str">
        <f>IF(COUNTIF(arjs,"S")&gt;0,COUNTIF(arjs,"S"),"")</f>
        <v/>
      </c>
      <c r="E21" s="40" t="str">
        <f>IF(D21&lt;&gt;"",D21*(feejs),"")</f>
        <v/>
      </c>
      <c r="F21" s="184"/>
      <c r="H21" s="58"/>
      <c r="I21" s="34" t="s">
        <v>0</v>
      </c>
      <c r="J21" s="60" t="str">
        <f>IF(COUNTA(as100tms)&gt;0,ROUNDDOWN(COUNTA(as100tms)/3,0),"")</f>
        <v/>
      </c>
      <c r="K21" s="62" t="str">
        <f>IF(J21&lt;&gt;"",J21*feetm,"")</f>
        <v/>
      </c>
      <c r="L21" s="185"/>
    </row>
    <row r="22" spans="2:12" s="1" customFormat="1" ht="15" customHeight="1" x14ac:dyDescent="0.3">
      <c r="B22" s="44"/>
      <c r="C22" s="34" t="s">
        <v>0</v>
      </c>
      <c r="D22" s="38" t="str">
        <f>IF(COUNTA(artms)&gt;0,ROUNDDOWN(COUNTA(artms)/3,0),"")</f>
        <v/>
      </c>
      <c r="E22" s="41" t="str">
        <f>IF(D22&lt;&gt;"",D22*feetm,"")</f>
        <v/>
      </c>
      <c r="F22" s="185"/>
      <c r="H22" s="21" t="s">
        <v>119</v>
      </c>
      <c r="I22" s="35" t="s">
        <v>5</v>
      </c>
      <c r="J22" s="36" t="str" cm="1">
        <f t="array" ref="J22">IF(COUNTA(is50inds)-SUMPRODUCT(--(LEN(TRIM(is50js))&gt;0))&gt;0,COUNTA(is50inds)-SUMPRODUCT(--(LEN(TRIM(is50js))&gt;0)),"")</f>
        <v/>
      </c>
      <c r="K22" s="63" t="str">
        <f>IF(J22&lt;&gt;"",J22*feeind,"")</f>
        <v/>
      </c>
      <c r="L22" s="183">
        <f>SUM(K22:K25)</f>
        <v>0</v>
      </c>
    </row>
    <row r="23" spans="2:12" s="1" customFormat="1" ht="15" customHeight="1" x14ac:dyDescent="0.3">
      <c r="B23" s="21" t="s">
        <v>28</v>
      </c>
      <c r="C23" s="35" t="s">
        <v>5</v>
      </c>
      <c r="D23" s="36" t="str" cm="1">
        <f t="array" ref="D23">IF(COUNTA(arsrnms)-SUMPRODUCT(--(LEN(TRIM(arsrjs))&gt;0))&gt;0,COUNTA(arsrnms)-SUMPRODUCT(--(LEN(TRIM(arsrjs))&gt;0)),"")</f>
        <v/>
      </c>
      <c r="E23" s="39" t="str">
        <f>IF(D23&lt;&gt;"",D23*feeind,"")</f>
        <v/>
      </c>
      <c r="F23" s="183">
        <f>SUM(E23:E25)</f>
        <v>0</v>
      </c>
      <c r="H23" s="23" t="str">
        <f>IF(COUNTIFS(is50errs,"?*")&gt;0,"Errors on the sheet, please check","")</f>
        <v/>
      </c>
      <c r="I23" s="124" t="s">
        <v>6</v>
      </c>
      <c r="J23" s="59" t="str">
        <f>IF(COUNTIF(is50js,"J")&gt;0,COUNTIF(is50js,"J"),"")</f>
        <v/>
      </c>
      <c r="K23" s="109" t="str">
        <f>IF(J23&lt;&gt;"",J23*feejs,"")</f>
        <v/>
      </c>
      <c r="L23" s="184"/>
    </row>
    <row r="24" spans="2:12" s="1" customFormat="1" ht="15" customHeight="1" x14ac:dyDescent="0.25">
      <c r="B24" s="23" t="str">
        <f>IF(COUNTIFS(arsrerrs,"?*")&gt;0,"Errors on the sheet, please fix","")</f>
        <v/>
      </c>
      <c r="C24" s="124" t="s">
        <v>6</v>
      </c>
      <c r="D24" s="37" t="str">
        <f>IF(COUNTIF(arsrjs,"J")&gt;0,COUNTIF(arsrjs,"J"),"")</f>
        <v/>
      </c>
      <c r="E24" s="40" t="str">
        <f>IF(D24&lt;&gt;"",D24*(feejs),"")</f>
        <v/>
      </c>
      <c r="F24" s="184"/>
      <c r="H24" s="57"/>
      <c r="I24" s="124" t="s">
        <v>7</v>
      </c>
      <c r="J24" s="59" t="str">
        <f>IF(COUNTIF(is50js,"S")&gt;0,COUNTIF(is50js,"S"),"")</f>
        <v/>
      </c>
      <c r="K24" s="109" t="str">
        <f>IF(J24&lt;&gt;"",J24*feejs,"")</f>
        <v/>
      </c>
      <c r="L24" s="184"/>
    </row>
    <row r="25" spans="2:12" s="1" customFormat="1" ht="15" customHeight="1" x14ac:dyDescent="0.25">
      <c r="B25" s="42"/>
      <c r="C25" s="34" t="s">
        <v>7</v>
      </c>
      <c r="D25" s="38" t="str">
        <f>IF(COUNTIF(arsrjs,"S")&gt;0,COUNTIF(arsrjs,"S"),"")</f>
        <v/>
      </c>
      <c r="E25" s="41" t="str">
        <f>IF(D25&lt;&gt;"",D25*(feejs),"")</f>
        <v/>
      </c>
      <c r="F25" s="185"/>
      <c r="H25" s="58"/>
      <c r="I25" s="34" t="s">
        <v>0</v>
      </c>
      <c r="J25" s="60" t="str">
        <f>IF(COUNTA(is50tms)&gt;0,ROUNDDOWN(COUNTA(is50tms)/3,0),"")</f>
        <v/>
      </c>
      <c r="K25" s="62" t="str">
        <f>IF(J25&lt;&gt;"",J25*feetm,"")</f>
        <v/>
      </c>
      <c r="L25" s="185"/>
    </row>
    <row r="26" spans="2:12" s="1" customFormat="1" ht="15" customHeight="1" x14ac:dyDescent="0.3">
      <c r="B26" s="21" t="s">
        <v>35</v>
      </c>
      <c r="C26" s="35" t="s">
        <v>5</v>
      </c>
      <c r="D26" s="36" t="str" cm="1">
        <f t="array" ref="D26">IF(COUNTA(ap20inds)-SUMPRODUCT(--(LEN(TRIM(ap20js))&gt;0))&gt;0,COUNTA(ap20inds)-SUMPRODUCT(--(LEN(TRIM(ap20js))&gt;0)),"")</f>
        <v/>
      </c>
      <c r="E26" s="39" t="str">
        <f>IF(D26&lt;&gt;"",D26*feeind,"")</f>
        <v/>
      </c>
      <c r="F26" s="188">
        <f>SUM(E26:E29)</f>
        <v>0</v>
      </c>
      <c r="H26" s="21" t="s">
        <v>115</v>
      </c>
      <c r="I26" s="35" t="s">
        <v>5</v>
      </c>
      <c r="J26" s="36" t="str" cm="1">
        <f t="array" ref="J26">IF(COUNTA(dewrinds)-SUMPRODUCT(--(LEN(TRIM(dewrjs))&gt;0))&gt;0,COUNTA(dewrinds)-SUMPRODUCT(--(LEN(TRIM(dewrjs))&gt;0)),"")</f>
        <v/>
      </c>
      <c r="K26" s="63" t="str">
        <f>IF(J26&lt;&gt;"",J26*feeind,"")</f>
        <v/>
      </c>
      <c r="L26" s="183">
        <f>SUM(K26:K29)</f>
        <v>0</v>
      </c>
    </row>
    <row r="27" spans="2:12" s="1" customFormat="1" ht="15" customHeight="1" x14ac:dyDescent="0.25">
      <c r="B27" s="23" t="str">
        <f>IF(COUNTIFS(ap20errs,"?*")&gt;0,"Errors on the sheet, please fix","")</f>
        <v/>
      </c>
      <c r="C27" s="124" t="s">
        <v>6</v>
      </c>
      <c r="D27" s="37" t="str">
        <f>IF(COUNTIF(ap20js,"J")&gt;0,COUNTIF(ap20js,"J"),"")</f>
        <v/>
      </c>
      <c r="E27" s="40" t="str">
        <f>IF(D27&lt;&gt;"",D27*(feejs),"")</f>
        <v/>
      </c>
      <c r="F27" s="189"/>
      <c r="H27" s="23" t="str">
        <f>IF(COUNTIFS(dewrerrs,"?*")&gt;0,"Errors on the sheet, please check","")</f>
        <v/>
      </c>
      <c r="I27" s="124" t="s">
        <v>6</v>
      </c>
      <c r="J27" s="59" t="str">
        <f>IF(COUNTIF(dewrjs,"J")&gt;0,COUNTIF(dewrjs,"J"),"")</f>
        <v/>
      </c>
      <c r="K27" s="109" t="str">
        <f>IF(J27&lt;&gt;"",J27*feejs,"")</f>
        <v/>
      </c>
      <c r="L27" s="184"/>
    </row>
    <row r="28" spans="2:12" s="1" customFormat="1" ht="15" customHeight="1" x14ac:dyDescent="0.25">
      <c r="B28" s="43"/>
      <c r="C28" s="124" t="s">
        <v>7</v>
      </c>
      <c r="D28" s="37" t="str">
        <f>IF(COUNTIF(ap20js,"S")&gt;0,COUNTIF(ap20js,"S"),"")</f>
        <v/>
      </c>
      <c r="E28" s="40" t="str">
        <f>IF(D28&lt;&gt;"",D28*(feejs),"")</f>
        <v/>
      </c>
      <c r="F28" s="189"/>
      <c r="H28" s="57"/>
      <c r="I28" s="124" t="s">
        <v>7</v>
      </c>
      <c r="J28" s="59" t="str">
        <f>IF(COUNTIF(dewrjs,"S")&gt;0,COUNTIF(dewrjs,"S"),"")</f>
        <v/>
      </c>
      <c r="K28" s="109" t="str">
        <f>IF(J28&lt;&gt;"",J28*feejs,"")</f>
        <v/>
      </c>
      <c r="L28" s="184"/>
    </row>
    <row r="29" spans="2:12" s="1" customFormat="1" ht="15" customHeight="1" x14ac:dyDescent="0.25">
      <c r="B29" s="44"/>
      <c r="C29" s="34" t="s">
        <v>0</v>
      </c>
      <c r="D29" s="38" t="str">
        <f>IF(COUNTA(ap20tms)&gt;0,ROUNDDOWN(COUNTA(ap20tms)/3,0),"")</f>
        <v/>
      </c>
      <c r="E29" s="41" t="str">
        <f>IF(D29&lt;&gt;"",D29*feetm,"")</f>
        <v/>
      </c>
      <c r="F29" s="190"/>
      <c r="H29" s="58"/>
      <c r="I29" s="34" t="s">
        <v>0</v>
      </c>
      <c r="J29" s="60" t="str">
        <f>IF(COUNTA(dewrtms)&gt;0,ROUNDDOWN(COUNTA(dewrtms)/3,0),"")</f>
        <v/>
      </c>
      <c r="K29" s="62" t="str">
        <f>IF(J29&lt;&gt;"",J29*feetm,"")</f>
        <v/>
      </c>
      <c r="L29" s="185"/>
    </row>
    <row r="30" spans="2:12" s="1" customFormat="1" ht="15" customHeight="1" x14ac:dyDescent="0.3">
      <c r="B30" s="21" t="s">
        <v>30</v>
      </c>
      <c r="C30" s="35" t="s">
        <v>5</v>
      </c>
      <c r="D30" s="36" t="str" cm="1">
        <f t="array" ref="D30">IF(COUNTA(ap6nms)-SUMPRODUCT(--(LEN(TRIM(ap6js))&gt;0))&gt;0,COUNTA(ap6nms)-SUMPRODUCT(--(LEN(TRIM(ap6js))&gt;0)),"")</f>
        <v/>
      </c>
      <c r="E30" s="39" t="str">
        <f>IF(D30&lt;&gt;"",D30*feeind,"")</f>
        <v/>
      </c>
      <c r="F30" s="183">
        <f>SUM(E30:E32)</f>
        <v>0</v>
      </c>
      <c r="H30" s="21" t="s">
        <v>17</v>
      </c>
      <c r="I30" s="35" t="s">
        <v>5</v>
      </c>
      <c r="J30" s="36" t="str" cm="1">
        <f t="array" ref="J30">IF(COUNTA(mlnnms)-SUMPRODUCT(--(LEN(TRIM(mlnjs))&gt;0))&gt;0,COUNTA(mlnnms)-SUMPRODUCT(--(LEN(TRIM(mlnjs))&gt;0)),"")</f>
        <v/>
      </c>
      <c r="K30" s="39" t="str">
        <f>IF(J30&lt;&gt;"",J30*feeind,"")</f>
        <v/>
      </c>
      <c r="L30" s="183">
        <f>SUM(K30:K32)</f>
        <v>0</v>
      </c>
    </row>
    <row r="31" spans="2:12" s="1" customFormat="1" ht="15" customHeight="1" x14ac:dyDescent="0.25">
      <c r="B31" s="23" t="str">
        <f>IF(COUNTIFS(ap6errs,"?*")&gt;0,"Errors on the sheet, please fix","")</f>
        <v/>
      </c>
      <c r="C31" s="124" t="s">
        <v>6</v>
      </c>
      <c r="D31" s="37" t="str">
        <f>IF(COUNTIF(ap6js,"J")&gt;0,COUNTIF(ap6js,"J"),"")</f>
        <v/>
      </c>
      <c r="E31" s="40" t="str">
        <f>IF(D31&lt;&gt;"",D31*(feejs),"")</f>
        <v/>
      </c>
      <c r="F31" s="184"/>
      <c r="H31" s="23" t="str">
        <f>IF(COUNTIFS(mlnerrs,"?*")&gt;0,"Errors on the sheet, please fix","")</f>
        <v/>
      </c>
      <c r="I31" s="124" t="s">
        <v>6</v>
      </c>
      <c r="J31" s="37" t="str">
        <f>IF(COUNTIF(mlnjs,"J")&gt;0,COUNTIF(mlnjs,"J"),"")</f>
        <v/>
      </c>
      <c r="K31" s="40" t="str">
        <f>IF(J31&lt;&gt;"",J31*(feejs),"")</f>
        <v/>
      </c>
      <c r="L31" s="184"/>
    </row>
    <row r="32" spans="2:12" s="1" customFormat="1" ht="15" customHeight="1" x14ac:dyDescent="0.25">
      <c r="B32" s="44"/>
      <c r="C32" s="34" t="s">
        <v>7</v>
      </c>
      <c r="D32" s="38" t="str">
        <f>IF(COUNTIF(ap6js,"S")&gt;0,COUNTIF(ap6js,"S"),"")</f>
        <v/>
      </c>
      <c r="E32" s="41" t="str">
        <f>IF(D32&lt;&gt;"",D32*(feejs),"")</f>
        <v/>
      </c>
      <c r="F32" s="185"/>
      <c r="H32" s="44"/>
      <c r="I32" s="34" t="s">
        <v>7</v>
      </c>
      <c r="J32" s="38" t="str">
        <f>IF(COUNTIF(mlnjs,"S")&gt;0,COUNTIF(mlnjs,"S"),"")</f>
        <v/>
      </c>
      <c r="K32" s="41" t="str">
        <f>IF(J32&lt;&gt;"",J32*(feejs),"")</f>
        <v/>
      </c>
      <c r="L32" s="185"/>
    </row>
    <row r="33" spans="2:12" s="1" customFormat="1" ht="15" customHeight="1" x14ac:dyDescent="0.3">
      <c r="B33" s="21" t="s">
        <v>50</v>
      </c>
      <c r="C33" s="35" t="s">
        <v>5</v>
      </c>
      <c r="D33" s="61" t="str" cm="1">
        <f t="array" ref="D33">IF(COUNTA(BR100inds)-SUMPRODUCT(--(LEN(TRIM(BR100js))&gt;0))&gt;0,COUNTA(BR100inds)-SUMPRODUCT(--(LEN(TRIM(BR100js))&gt;0)),"")</f>
        <v/>
      </c>
      <c r="E33" s="63" t="str">
        <f>IF(D33&lt;&gt;"",D33*feeind,"")</f>
        <v/>
      </c>
      <c r="F33" s="183">
        <f>SUM(E33:E36)</f>
        <v>0</v>
      </c>
      <c r="H33" s="21" t="s">
        <v>33</v>
      </c>
      <c r="I33" s="35" t="s">
        <v>5</v>
      </c>
      <c r="J33" s="36" t="str" cm="1">
        <f t="array" ref="J33">IF(COUNTA(mlpnms)-SUMPRODUCT(--(LEN(TRIM(mlpjs))&gt;0))&gt;0,COUNTA(mlpnms)-SUMPRODUCT(--(LEN(TRIM(mlpjs))&gt;0)),"")</f>
        <v/>
      </c>
      <c r="K33" s="39" t="str">
        <f>IF(J33&lt;&gt;"",J33*feeind,"")</f>
        <v/>
      </c>
      <c r="L33" s="183">
        <f>SUM(K33:K35)</f>
        <v>0</v>
      </c>
    </row>
    <row r="34" spans="2:12" s="1" customFormat="1" ht="15" customHeight="1" x14ac:dyDescent="0.25">
      <c r="B34" s="23" t="str">
        <f>IF(COUNTIFS(BR100errs,"?*")&gt;0,"Errors on the sheet, please fix","")</f>
        <v/>
      </c>
      <c r="C34" s="124" t="s">
        <v>6</v>
      </c>
      <c r="D34" s="59" t="str">
        <f>IF(COUNTIF(BR100js,"J")&gt;0,COUNTIF(BR100js,"J"),"")</f>
        <v/>
      </c>
      <c r="E34" s="40" t="str">
        <f>IF(D34&lt;&gt;"",D34*(feejs),"")</f>
        <v/>
      </c>
      <c r="F34" s="184"/>
      <c r="H34" s="23" t="str">
        <f>IF(COUNTIFS(mlperrs,"?*")&gt;0,"Errors on the sheet, please fix","")</f>
        <v/>
      </c>
      <c r="I34" s="124" t="s">
        <v>6</v>
      </c>
      <c r="J34" s="37" t="str">
        <f>IF(COUNTIF(mlpjs,"J")&gt;0,COUNTIF(mlpjs,"J"),"")</f>
        <v/>
      </c>
      <c r="K34" s="40" t="str">
        <f>IF(J34&lt;&gt;"",J34*(feejs),"")</f>
        <v/>
      </c>
      <c r="L34" s="184"/>
    </row>
    <row r="35" spans="2:12" s="1" customFormat="1" ht="15" customHeight="1" x14ac:dyDescent="0.25">
      <c r="B35" s="23"/>
      <c r="C35" s="124" t="s">
        <v>7</v>
      </c>
      <c r="D35" s="59" t="str">
        <f>IF(COUNTIF(BR100js,"S")&gt;0,COUNTIF(BR100js,"S"),"")</f>
        <v/>
      </c>
      <c r="E35" s="40" t="str">
        <f>IF(D35&lt;&gt;"",D35*(feejs),"")</f>
        <v/>
      </c>
      <c r="F35" s="184"/>
      <c r="H35" s="44"/>
      <c r="I35" s="34" t="s">
        <v>7</v>
      </c>
      <c r="J35" s="38" t="str">
        <f>IF(COUNTIF(mlpjs,"S")&gt;0,COUNTIF(mlpjs,"S"),"")</f>
        <v/>
      </c>
      <c r="K35" s="41" t="str">
        <f>IF(J35&lt;&gt;"",J35*(feejs),"")</f>
        <v/>
      </c>
      <c r="L35" s="185"/>
    </row>
    <row r="36" spans="2:12" s="1" customFormat="1" ht="15" customHeight="1" x14ac:dyDescent="0.3">
      <c r="B36" s="58"/>
      <c r="C36" s="34" t="s">
        <v>0</v>
      </c>
      <c r="D36" s="60" t="str">
        <f>IF(COUNTA(BR100tms)&gt;0,ROUNDDOWN(COUNTA(BR100tms)/3,0),"")</f>
        <v/>
      </c>
      <c r="E36" s="62" t="str">
        <f>IF(D36&lt;&gt;"",D36*feetm,"")</f>
        <v/>
      </c>
      <c r="F36" s="185"/>
      <c r="H36" s="21" t="s">
        <v>16</v>
      </c>
      <c r="I36" s="35" t="s">
        <v>5</v>
      </c>
      <c r="J36" s="36" t="str" cm="1">
        <f t="array" ref="J36">IF(COUNTA(mlrnms)-SUMPRODUCT(--(LEN(TRIM(mlrjs))&gt;0))&gt;0,COUNTA(mlrnms)-SUMPRODUCT(--(LEN(TRIM(mlrjs))&gt;0)),"")</f>
        <v/>
      </c>
      <c r="K36" s="39" t="str">
        <f>IF(J36&lt;&gt;"",J36*feeind,"")</f>
        <v/>
      </c>
      <c r="L36" s="183">
        <f>SUM(K36:K38)</f>
        <v>0</v>
      </c>
    </row>
    <row r="37" spans="2:12" s="1" customFormat="1" ht="15" customHeight="1" x14ac:dyDescent="0.3">
      <c r="B37" s="21" t="s">
        <v>49</v>
      </c>
      <c r="C37" s="35" t="s">
        <v>5</v>
      </c>
      <c r="D37" s="36" t="str" cm="1">
        <f t="array" ref="D37">IF(COUNTA(lrbrinds)-SUMPRODUCT(--(LEN(TRIM(lrbrjs))&gt;0))&gt;0,COUNTA(lrbrinds)-SUMPRODUCT(--(LEN(TRIM(lrbrjs))&gt;0)),"")</f>
        <v/>
      </c>
      <c r="E37" s="39" t="str">
        <f>IF(D37&lt;&gt;"",D37*feeind,"")</f>
        <v/>
      </c>
      <c r="F37" s="183">
        <f>SUM(E37:E40)</f>
        <v>0</v>
      </c>
      <c r="H37" s="23" t="str">
        <f>IF(COUNTIFS(mlrerrs,"?*")&gt;0,"Errors on the sheet, please fix","")</f>
        <v/>
      </c>
      <c r="I37" s="124" t="s">
        <v>6</v>
      </c>
      <c r="J37" s="37" t="str">
        <f>IF(COUNTIF(mlrjs,"J")&gt;0,COUNTIF(mlrjs,"J"),"")</f>
        <v/>
      </c>
      <c r="K37" s="40" t="str">
        <f>IF(J37&lt;&gt;"",J37*(feejs),"")</f>
        <v/>
      </c>
      <c r="L37" s="184"/>
    </row>
    <row r="38" spans="2:12" s="1" customFormat="1" ht="15" customHeight="1" x14ac:dyDescent="0.25">
      <c r="B38" s="23" t="str">
        <f>IF(COUNTIFS(lrbrerrs,"?*")&gt;0,"Errors on the sheet, please fix","")</f>
        <v/>
      </c>
      <c r="C38" s="124" t="s">
        <v>6</v>
      </c>
      <c r="D38" s="37" t="str">
        <f>IF(COUNTIF(lrbrjs,"J")&gt;0,COUNTIF(lrbrjs,"J"),"")</f>
        <v/>
      </c>
      <c r="E38" s="40" t="str">
        <f>IF(D38&lt;&gt;"",D38*(feejs),"")</f>
        <v/>
      </c>
      <c r="F38" s="184"/>
      <c r="H38" s="44"/>
      <c r="I38" s="34" t="s">
        <v>7</v>
      </c>
      <c r="J38" s="38" t="str">
        <f>IF(COUNTIF(mlrjs,"S")&gt;0,COUNTIF(mlrjs,"S"),"")</f>
        <v/>
      </c>
      <c r="K38" s="41" t="str">
        <f>IF(J38&lt;&gt;"",J38*(feejs),"")</f>
        <v/>
      </c>
      <c r="L38" s="185"/>
    </row>
    <row r="39" spans="2:12" s="1" customFormat="1" ht="15" customHeight="1" x14ac:dyDescent="0.3">
      <c r="B39" s="43"/>
      <c r="C39" s="124" t="s">
        <v>7</v>
      </c>
      <c r="D39" s="37" t="str">
        <f>IF(COUNTIF(lrbrjs,"S")&gt;0,COUNTIF(lrbrjs,"S"),"")</f>
        <v/>
      </c>
      <c r="E39" s="40" t="str">
        <f>IF(D39&lt;&gt;"",D39*(feejs),"")</f>
        <v/>
      </c>
      <c r="F39" s="184"/>
      <c r="H39" s="21" t="s">
        <v>24</v>
      </c>
      <c r="I39" s="35" t="s">
        <v>5</v>
      </c>
      <c r="J39" s="36" t="str" cm="1">
        <f t="array" ref="J39">IF(COUNTA(rfapnms)-SUMPRODUCT(--(LEN(TRIM(rfapjs))&gt;0))&gt;0,COUNTA(rfapnms)-SUMPRODUCT(--(LEN(TRIM(rfapjs))&gt;0)),"")</f>
        <v/>
      </c>
      <c r="K39" s="39" t="str">
        <f>IF(J39&lt;&gt;"",J39*feeind,"")</f>
        <v/>
      </c>
      <c r="L39" s="183">
        <f>SUM(K39:K41)</f>
        <v>0</v>
      </c>
    </row>
    <row r="40" spans="2:12" s="1" customFormat="1" ht="15" customHeight="1" x14ac:dyDescent="0.25">
      <c r="B40" s="44"/>
      <c r="C40" s="34" t="s">
        <v>0</v>
      </c>
      <c r="D40" s="38" t="str">
        <f>IF(COUNTA(lrbrtms)&gt;0,ROUNDDOWN(COUNTA(lrbrtms)/3,0),"")</f>
        <v/>
      </c>
      <c r="E40" s="41" t="str">
        <f>IF(D40&lt;&gt;"",D40*feetm,"")</f>
        <v/>
      </c>
      <c r="F40" s="185"/>
      <c r="H40" s="23" t="str">
        <f>IF(COUNTIFS(rfaperrs,"?*")&gt;0,"Errors on the sheet, please fix","")</f>
        <v/>
      </c>
      <c r="I40" s="124" t="s">
        <v>6</v>
      </c>
      <c r="J40" s="37" t="str">
        <f>IF(COUNTIF(rfapjs,"J")&gt;0,COUNTIF(rfapjs,"J"),"")</f>
        <v/>
      </c>
      <c r="K40" s="40" t="str">
        <f>IF(J40&lt;&gt;"",J40*(feejs),"")</f>
        <v/>
      </c>
      <c r="L40" s="184"/>
    </row>
    <row r="41" spans="2:12" s="1" customFormat="1" ht="15" customHeight="1" x14ac:dyDescent="0.3">
      <c r="B41" s="21" t="s">
        <v>52</v>
      </c>
      <c r="C41" s="35" t="s">
        <v>5</v>
      </c>
      <c r="D41" s="36" t="str" cm="1">
        <f t="array" ref="D41">IF(COUNTA(srbrainds)-SUMPRODUCT(--(LEN(TRIM(srbrajs))&gt;0))&gt;0,COUNTA(srbrainds)-SUMPRODUCT(--(LEN(TRIM(srbrajs))&gt;0)),"")</f>
        <v/>
      </c>
      <c r="E41" s="39" t="str">
        <f>IF(D41&lt;&gt;"",D41*feeind,"")</f>
        <v/>
      </c>
      <c r="F41" s="183">
        <f>SUM(E41:E44)</f>
        <v>0</v>
      </c>
      <c r="H41" s="44"/>
      <c r="I41" s="34" t="s">
        <v>7</v>
      </c>
      <c r="J41" s="38" t="str">
        <f>IF(COUNTIF(rfapjs,"S")&gt;0,COUNTIF(rfapjs,"S"),"")</f>
        <v/>
      </c>
      <c r="K41" s="41" t="str">
        <f>IF(J41&lt;&gt;"",J41*(feejs),"")</f>
        <v/>
      </c>
      <c r="L41" s="185"/>
    </row>
    <row r="42" spans="2:12" s="1" customFormat="1" ht="15" customHeight="1" x14ac:dyDescent="0.3">
      <c r="B42" s="23" t="str">
        <f>IF(COUNTIFS(srbraerrs,"?*")&gt;0,"Errors on the sheet, please fix","")</f>
        <v/>
      </c>
      <c r="C42" s="124" t="s">
        <v>6</v>
      </c>
      <c r="D42" s="37" t="str">
        <f>IF(COUNTIF(srbrajs,"J")&gt;0,COUNTIF(srbrajs,"J"),"")</f>
        <v/>
      </c>
      <c r="E42" s="40" t="str">
        <f>IF(D42&lt;&gt;"",D42*(feejs),"")</f>
        <v/>
      </c>
      <c r="F42" s="184"/>
      <c r="H42" s="21" t="s">
        <v>19</v>
      </c>
      <c r="I42" s="35" t="s">
        <v>5</v>
      </c>
      <c r="J42" s="36" t="str" cm="1">
        <f t="array" ref="J42">IF(COUNTA(rfrnms)-SUMPRODUCT(--(LEN(TRIM(rfrjs))&gt;0))&gt;0,COUNTA(rfrnms)-SUMPRODUCT(--(LEN(TRIM(rfrjs))&gt;0)),"")</f>
        <v/>
      </c>
      <c r="K42" s="39" t="str">
        <f>IF(J42&lt;&gt;"",J42*feeind,"")</f>
        <v/>
      </c>
      <c r="L42" s="183">
        <f>SUM(K42:K44)</f>
        <v>0</v>
      </c>
    </row>
    <row r="43" spans="2:12" s="1" customFormat="1" ht="15" customHeight="1" x14ac:dyDescent="0.25">
      <c r="B43" s="43"/>
      <c r="C43" s="124" t="s">
        <v>7</v>
      </c>
      <c r="D43" s="37" t="str">
        <f>IF(COUNTIF(srbrajs,"S")&gt;0,COUNTIF(srbrajs,"S"),"")</f>
        <v/>
      </c>
      <c r="E43" s="40" t="str">
        <f>IF(D43&lt;&gt;"",D43*(feejs),"")</f>
        <v/>
      </c>
      <c r="F43" s="184"/>
      <c r="H43" s="23" t="str">
        <f>IF(COUNTIFS(rfrerrs,"?*")&gt;0,"Errors on the sheet, please fix","")</f>
        <v/>
      </c>
      <c r="I43" s="124" t="s">
        <v>6</v>
      </c>
      <c r="J43" s="37" t="str">
        <f>IF(COUNTIF(rfrjs,"J")&gt;0,COUNTIF(rfrjs,"J"),"")</f>
        <v/>
      </c>
      <c r="K43" s="40" t="str">
        <f>IF(J43&lt;&gt;"",J43*(feejs),"")</f>
        <v/>
      </c>
      <c r="L43" s="184"/>
    </row>
    <row r="44" spans="2:12" s="1" customFormat="1" ht="15" customHeight="1" x14ac:dyDescent="0.25">
      <c r="B44" s="44"/>
      <c r="C44" s="34" t="s">
        <v>0</v>
      </c>
      <c r="D44" s="38" t="str">
        <f>IF(COUNTA(srbratms)&gt;0,ROUNDDOWN(COUNTA(srbratms)/3,0),"")</f>
        <v/>
      </c>
      <c r="E44" s="41" t="str">
        <f>IF(D44&lt;&gt;"",D44*feetm,"")</f>
        <v/>
      </c>
      <c r="F44" s="185"/>
      <c r="H44" s="44"/>
      <c r="I44" s="34" t="s">
        <v>7</v>
      </c>
      <c r="J44" s="38" t="str">
        <f>IF(COUNTIF(rfrjs,"S")&gt;0,COUNTIF(rfrjs,"S"),"")</f>
        <v/>
      </c>
      <c r="K44" s="41" t="str">
        <f>IF(J44&lt;&gt;"",J44*(feejs),"")</f>
        <v/>
      </c>
      <c r="L44" s="185"/>
    </row>
    <row r="45" spans="2:12" s="1" customFormat="1" ht="15" customHeight="1" x14ac:dyDescent="0.3">
      <c r="B45" s="21" t="s">
        <v>51</v>
      </c>
      <c r="C45" s="35" t="s">
        <v>5</v>
      </c>
      <c r="D45" s="36" t="str" cm="1">
        <f t="array" ref="D45">IF(COUNTA(srbrrinds)-SUMPRODUCT(--(LEN(TRIM(srbrrjs))&gt;0))&gt;0,COUNTA(srbrrinds)-SUMPRODUCT(--(LEN(TRIM(srbrrjs))&gt;0)),"")</f>
        <v/>
      </c>
      <c r="E45" s="39" t="str">
        <f>IF(D45&lt;&gt;"",D45*feeind,"")</f>
        <v/>
      </c>
      <c r="F45" s="183">
        <f>SUM(E45:E48)</f>
        <v>0</v>
      </c>
      <c r="H45" s="21" t="s">
        <v>21</v>
      </c>
      <c r="I45" s="35" t="s">
        <v>5</v>
      </c>
      <c r="J45" s="61" t="str" cm="1">
        <f t="array" ref="J45">IF(COUNTA(srrinds)-SUMPRODUCT(--(LEN(TRIM(srrjs))&gt;0))&gt;0,COUNTA(srrinds)-SUMPRODUCT(--(LEN(TRIM(srrjs))&gt;0)),"")</f>
        <v/>
      </c>
      <c r="K45" s="63" t="str">
        <f>IF(J45&lt;&gt;"",J45*feeind,"")</f>
        <v/>
      </c>
      <c r="L45" s="183">
        <f>SUM(K45:K48)</f>
        <v>0</v>
      </c>
    </row>
    <row r="46" spans="2:12" ht="15" customHeight="1" x14ac:dyDescent="0.25">
      <c r="B46" s="23" t="str">
        <f>IF(COUNTIFS(srbrrerrs,"?*")&gt;0,"Errors on the sheet, please fix","")</f>
        <v/>
      </c>
      <c r="C46" s="124" t="s">
        <v>6</v>
      </c>
      <c r="D46" s="37" t="str">
        <f>IF(COUNTIF(srbrrjs,"J")&gt;0,COUNTIF(srbrrjs,"J"),"")</f>
        <v/>
      </c>
      <c r="E46" s="40" t="str">
        <f>IF(D46&lt;&gt;"",D46*(feejs),"")</f>
        <v/>
      </c>
      <c r="F46" s="184"/>
      <c r="H46" s="23" t="str">
        <f>IF(COUNTIFS(srrerrs,"?*")&gt;0,"Errors on the sheet, please fix","")</f>
        <v/>
      </c>
      <c r="I46" s="124" t="s">
        <v>6</v>
      </c>
      <c r="J46" s="59" t="str">
        <f>IF(COUNTIF(srrjs,"J")&gt;0,COUNTIF(srrjs,"J"),"")</f>
        <v/>
      </c>
      <c r="K46" s="40" t="str">
        <f>IF(J46&lt;&gt;"",J46*(feejs),"")</f>
        <v/>
      </c>
      <c r="L46" s="184"/>
    </row>
    <row r="47" spans="2:12" ht="15" customHeight="1" x14ac:dyDescent="0.25">
      <c r="B47" s="43"/>
      <c r="C47" s="124" t="s">
        <v>7</v>
      </c>
      <c r="D47" s="37" t="str">
        <f>IF(COUNTIF(srbrrjs,"S")&gt;0,COUNTIF(srbrrjs,"S"),"")</f>
        <v/>
      </c>
      <c r="E47" s="40" t="str">
        <f>IF(D47&lt;&gt;"",D47*(feejs),"")</f>
        <v/>
      </c>
      <c r="F47" s="184"/>
      <c r="H47" s="57"/>
      <c r="I47" s="124" t="s">
        <v>7</v>
      </c>
      <c r="J47" s="59" t="str">
        <f>IF(COUNTIF(srrjs,"S")&gt;0,COUNTIF(srrjs,"S"),"")</f>
        <v/>
      </c>
      <c r="K47" s="40" t="str">
        <f>IF(J47&lt;&gt;"",J47*(feejs),"")</f>
        <v/>
      </c>
      <c r="L47" s="184"/>
    </row>
    <row r="48" spans="2:12" ht="15" customHeight="1" x14ac:dyDescent="0.25">
      <c r="B48" s="44"/>
      <c r="C48" s="34" t="s">
        <v>0</v>
      </c>
      <c r="D48" s="38" t="str">
        <f>IF(COUNTA(srbrrtms)&gt;0,ROUNDDOWN(COUNTA(srbrrtms)/3,0),"")</f>
        <v/>
      </c>
      <c r="E48" s="41" t="str">
        <f>IF(D48&lt;&gt;"",D48*feetm,"")</f>
        <v/>
      </c>
      <c r="F48" s="185"/>
      <c r="H48" s="58"/>
      <c r="I48" s="34" t="s">
        <v>0</v>
      </c>
      <c r="J48" s="60" t="str">
        <f>IF(COUNTA(srrtms)&gt;0,ROUNDDOWN(COUNTA(srrtms)/3,0),"")</f>
        <v/>
      </c>
      <c r="K48" s="62" t="str">
        <f>IF(J48&lt;&gt;"",J48*feetm,"")</f>
        <v/>
      </c>
      <c r="L48" s="185"/>
    </row>
    <row r="49" spans="2:12" ht="15" customHeight="1" x14ac:dyDescent="0.3">
      <c r="B49" s="21" t="s">
        <v>31</v>
      </c>
      <c r="C49" s="35" t="s">
        <v>5</v>
      </c>
      <c r="D49" s="36" t="str" cm="1">
        <f t="array" ref="D49">IF(COUNTA(granms)-SUMPRODUCT(--(LEN(TRIM(grajs))&gt;0))&gt;0,COUNTA(granms)-SUMPRODUCT(--(LEN(TRIM(grajs))&gt;0)),"")</f>
        <v/>
      </c>
      <c r="E49" s="39" t="str">
        <f>IF(D49&lt;&gt;"",D49*feeind,"")</f>
        <v/>
      </c>
      <c r="F49" s="183">
        <f>SUM(E49:E51)</f>
        <v>0</v>
      </c>
      <c r="H49" s="21" t="s">
        <v>20</v>
      </c>
      <c r="I49" s="35" t="s">
        <v>5</v>
      </c>
      <c r="J49" s="61" t="str" cm="1">
        <f t="array" ref="J49">IF(COUNTA(sprtinds)-SUMPRODUCT(--(LEN(TRIM(sprtjs))&gt;0))&gt;0,COUNTA(sprtinds)-SUMPRODUCT(--(LEN(TRIM(sprtjs))&gt;0)),"")</f>
        <v/>
      </c>
      <c r="K49" s="63" t="str">
        <f>IF(J49&lt;&gt;"",J49*feeind,"")</f>
        <v/>
      </c>
      <c r="L49" s="183">
        <f>SUM(K49:K52)</f>
        <v>0</v>
      </c>
    </row>
    <row r="50" spans="2:12" ht="15.75" x14ac:dyDescent="0.25">
      <c r="B50" s="23" t="str">
        <f>IF(COUNTIFS(graerrs,"?*")&gt;0,"Errors on the sheet, please fix","")</f>
        <v/>
      </c>
      <c r="C50" s="124" t="s">
        <v>6</v>
      </c>
      <c r="D50" s="37" t="str">
        <f>IF(COUNTIF(grajs,"J")&gt;0,COUNTIF(grajs,"J"),"")</f>
        <v/>
      </c>
      <c r="E50" s="40" t="str">
        <f>IF(D50&lt;&gt;"",D50*(feejs),"")</f>
        <v/>
      </c>
      <c r="F50" s="184"/>
      <c r="H50" s="23" t="str">
        <f>IF(COUNTIFS(sprterrs,"?*")&gt;0,"Errors on the sheet, please fix","")</f>
        <v/>
      </c>
      <c r="I50" s="124" t="s">
        <v>6</v>
      </c>
      <c r="J50" s="59" t="str">
        <f>IF(COUNTIF(sprtjs,"J")&gt;0,COUNTIF(sprtjs,"J"),"")</f>
        <v/>
      </c>
      <c r="K50" s="40" t="str">
        <f>IF(J50&lt;&gt;"",J50*(feejs),"")</f>
        <v/>
      </c>
      <c r="L50" s="184"/>
    </row>
    <row r="51" spans="2:12" ht="15.75" x14ac:dyDescent="0.25">
      <c r="B51" s="44"/>
      <c r="C51" s="34" t="s">
        <v>7</v>
      </c>
      <c r="D51" s="38" t="str">
        <f>IF(COUNTIF(grajs,"S")&gt;0,COUNTIF(grajs,"S"),"")</f>
        <v/>
      </c>
      <c r="E51" s="41" t="str">
        <f>IF(D51&lt;&gt;"",D51*(feejs),"")</f>
        <v/>
      </c>
      <c r="F51" s="185"/>
      <c r="H51" s="57"/>
      <c r="I51" s="124" t="s">
        <v>7</v>
      </c>
      <c r="J51" s="59" t="str">
        <f>IF(COUNTIF(sprtjs,"S")&gt;0,COUNTIF(sprtjs,"S"),"")</f>
        <v/>
      </c>
      <c r="K51" s="40" t="str">
        <f>IF(J51&lt;&gt;"",J51*(feejs),"")</f>
        <v/>
      </c>
      <c r="L51" s="184"/>
    </row>
    <row r="52" spans="2:12" ht="18.75" x14ac:dyDescent="0.3">
      <c r="B52" s="21" t="s">
        <v>32</v>
      </c>
      <c r="C52" s="35" t="s">
        <v>5</v>
      </c>
      <c r="D52" s="36" t="str" cm="1">
        <f t="array" ref="D52">IF(COUNTA(grinms)-SUMPRODUCT(--(LEN(TRIM(grijs))&gt;0))&gt;0,COUNTA(grinms)-SUMPRODUCT(--(LEN(TRIM(grijs))&gt;0)),"")</f>
        <v/>
      </c>
      <c r="E52" s="39" t="str">
        <f>IF(D52&lt;&gt;"",D52*feeind,"")</f>
        <v/>
      </c>
      <c r="F52" s="183">
        <f>SUM(E52:E54)</f>
        <v>0</v>
      </c>
      <c r="H52" s="58"/>
      <c r="I52" s="34" t="s">
        <v>0</v>
      </c>
      <c r="J52" s="60" t="str">
        <f>IF(COUNTA(sprttms)&gt;0,ROUNDDOWN(COUNTA(sprttms)/3,0),"")</f>
        <v/>
      </c>
      <c r="K52" s="62" t="str">
        <f>IF(J52&lt;&gt;"",J52*feetm,"")</f>
        <v/>
      </c>
      <c r="L52" s="185"/>
    </row>
    <row r="53" spans="2:12" ht="18.75" x14ac:dyDescent="0.3">
      <c r="B53" s="23" t="str">
        <f>IF(COUNTIFS(grierrs,"?*")&gt;0,"Errors on the sheet, please fix","")</f>
        <v/>
      </c>
      <c r="C53" s="124" t="s">
        <v>6</v>
      </c>
      <c r="D53" s="37" t="str">
        <f>IF(COUNTIF(grijs,"J")&gt;0,COUNTIF(grijs,"J"),"")</f>
        <v/>
      </c>
      <c r="E53" s="40" t="str">
        <f>IF(D53&lt;&gt;"",D53*(feejs),"")</f>
        <v/>
      </c>
      <c r="F53" s="184"/>
      <c r="H53" s="21" t="s">
        <v>34</v>
      </c>
      <c r="I53" s="35" t="s">
        <v>5</v>
      </c>
      <c r="J53" s="36" t="str" cm="1">
        <f t="array" ref="J53">IF(COUNTA(stpnms)-SUMPRODUCT(--(LEN(TRIM(stpjs))&gt;0))&gt;0,COUNTA(stpnms)-SUMPRODUCT(--(LEN(TRIM(stpjs))&gt;0)),"")</f>
        <v/>
      </c>
      <c r="K53" s="39" t="str">
        <f>IF(J53&lt;&gt;"",J53*feeind,"")</f>
        <v/>
      </c>
      <c r="L53" s="183">
        <f>SUM(K53:K55)</f>
        <v>0</v>
      </c>
    </row>
    <row r="54" spans="2:12" ht="15.75" x14ac:dyDescent="0.25">
      <c r="B54" s="44"/>
      <c r="C54" s="34" t="s">
        <v>7</v>
      </c>
      <c r="D54" s="38" t="str">
        <f>IF(COUNTIF(grijs,"S")&gt;0,COUNTIF(grijs,"S"),"")</f>
        <v/>
      </c>
      <c r="E54" s="41" t="str">
        <f>IF(D54&lt;&gt;"",D54*(feejs),"")</f>
        <v/>
      </c>
      <c r="F54" s="185"/>
      <c r="H54" s="23" t="str">
        <f>IF(COUNTIFS(stperrs,"?*")&gt;0,"Errors on the sheet, please fix","")</f>
        <v/>
      </c>
      <c r="I54" s="124" t="s">
        <v>6</v>
      </c>
      <c r="J54" s="37" t="str">
        <f>IF(COUNTIF(stpjs,"J")&gt;0,COUNTIF(stpjs,"J"),"")</f>
        <v/>
      </c>
      <c r="K54" s="40" t="str">
        <f>IF(J54&lt;&gt;"",J54*(feejs),"")</f>
        <v/>
      </c>
      <c r="L54" s="184"/>
    </row>
    <row r="55" spans="2:12" ht="18.75" x14ac:dyDescent="0.3">
      <c r="B55" s="21" t="s">
        <v>74</v>
      </c>
      <c r="C55" s="35" t="s">
        <v>5</v>
      </c>
      <c r="D55" s="36" t="str" cm="1">
        <f t="array" ref="D55">IF(COUNTA(lbranms)-SUMPRODUCT(--(LEN(TRIM(lbrajs))&gt;0))&gt;0,COUNTA(lbranms)-SUMPRODUCT(--(LEN(TRIM(lbrajs))&gt;0)),"")</f>
        <v/>
      </c>
      <c r="E55" s="63" t="str">
        <f>IF(D55&lt;&gt;"",D55*feeind,"")</f>
        <v/>
      </c>
      <c r="F55" s="183">
        <f>SUM(E55:E57)</f>
        <v>0</v>
      </c>
      <c r="H55" s="44"/>
      <c r="I55" s="34" t="s">
        <v>7</v>
      </c>
      <c r="J55" s="38" t="str">
        <f>IF(COUNTIF(stpjs,"S")&gt;0,COUNTIF(stpjs,"S"),"")</f>
        <v/>
      </c>
      <c r="K55" s="41" t="str">
        <f>IF(J55&lt;&gt;"",J55*(feejs),"")</f>
        <v/>
      </c>
      <c r="L55" s="185"/>
    </row>
    <row r="56" spans="2:12" ht="15.75" x14ac:dyDescent="0.25">
      <c r="B56" s="23" t="str">
        <f>IF(COUNTIFS(lbraerrs,"?*")&gt;0,"Errors on the sheet, please check","")</f>
        <v/>
      </c>
      <c r="C56" s="124" t="s">
        <v>6</v>
      </c>
      <c r="D56" s="59" t="str">
        <f>IF(COUNTIF(lbrajs,"J")&gt;0,COUNTIF(lbrajs,"J"),"")</f>
        <v/>
      </c>
      <c r="E56" s="109" t="str">
        <f>IF(D56&lt;&gt;"",D56*feejs,"")</f>
        <v/>
      </c>
      <c r="F56" s="184"/>
    </row>
    <row r="57" spans="2:12" ht="15.75" x14ac:dyDescent="0.25">
      <c r="B57" s="58"/>
      <c r="C57" s="34" t="s">
        <v>7</v>
      </c>
      <c r="D57" s="60" t="str">
        <f>IF(COUNTIF(lbrajs,"S")&gt;0,COUNTIF(lbrajs,"S"),"")</f>
        <v/>
      </c>
      <c r="E57" s="62" t="str">
        <f>IF(D57&lt;&gt;"",D57*feejs,"")</f>
        <v/>
      </c>
      <c r="F57" s="185"/>
    </row>
    <row r="58" spans="2:12" x14ac:dyDescent="0.25">
      <c r="D58"/>
    </row>
    <row r="59" spans="2:12" ht="16.5" thickBot="1" x14ac:dyDescent="0.3">
      <c r="F59" s="1"/>
    </row>
    <row r="60" spans="2:12" ht="16.5" thickBot="1" x14ac:dyDescent="0.3">
      <c r="B60" s="193" t="s">
        <v>112</v>
      </c>
      <c r="C60" s="194"/>
      <c r="D60" s="194"/>
      <c r="E60" s="195"/>
      <c r="F60" s="1"/>
    </row>
    <row r="61" spans="2:12" ht="15.75" x14ac:dyDescent="0.25">
      <c r="B61" s="196" t="str">
        <f>CONCATENATE("Open-only Individuals @ £", feeind)</f>
        <v>Open-only Individuals @ £4</v>
      </c>
      <c r="C61" s="197"/>
      <c r="D61" s="28">
        <f t="shared" ref="D61:E63" si="0">SUM(D12,D16,D19,D23,D26,D30,D33,D37,D41,D45,D49,D52,D55,J12,J15,J18,J22,J26,J30,J33,J36,J39,J42,J45,J49,J53)</f>
        <v>0</v>
      </c>
      <c r="E61" s="29">
        <f t="shared" si="0"/>
        <v>0</v>
      </c>
      <c r="F61" s="1"/>
    </row>
    <row r="62" spans="2:12" ht="15.75" x14ac:dyDescent="0.25">
      <c r="B62" s="191" t="str">
        <f>CONCATENATE("Open Individuals plus concurrent Junior @ £" &amp; feejs)</f>
        <v>Open Individuals plus concurrent Junior @ £6</v>
      </c>
      <c r="C62" s="192"/>
      <c r="D62" s="18">
        <f t="shared" si="0"/>
        <v>0</v>
      </c>
      <c r="E62" s="30">
        <f t="shared" si="0"/>
        <v>0</v>
      </c>
      <c r="F62" s="1"/>
    </row>
    <row r="63" spans="2:12" ht="15.75" x14ac:dyDescent="0.25">
      <c r="B63" s="191" t="str">
        <f>CONCATENATE("Open Individuals plus concurrent Senior @ £" &amp; feejs)</f>
        <v>Open Individuals plus concurrent Senior @ £6</v>
      </c>
      <c r="C63" s="192"/>
      <c r="D63" s="18">
        <f t="shared" si="0"/>
        <v>0</v>
      </c>
      <c r="E63" s="30">
        <f t="shared" si="0"/>
        <v>0</v>
      </c>
    </row>
    <row r="64" spans="2:12" ht="15.75" x14ac:dyDescent="0.25">
      <c r="B64" s="191" t="str">
        <f>CONCATENATE("Teams @ £", feetm)</f>
        <v>Teams @ £12</v>
      </c>
      <c r="C64" s="192"/>
      <c r="D64" s="18">
        <f>SUM(D15,D22,D29,D36,D40,D44,D48,J21,J25,J29,J48,J52)</f>
        <v>0</v>
      </c>
      <c r="E64" s="30">
        <f>SUM(E15,E22,E29,E36,E40,E44,E48,K21,K25,K29,K48,K52)</f>
        <v>0</v>
      </c>
    </row>
    <row r="65" spans="2:5" ht="16.5" thickBot="1" x14ac:dyDescent="0.3">
      <c r="B65" s="186" t="s">
        <v>66</v>
      </c>
      <c r="C65" s="187"/>
      <c r="D65" s="187"/>
      <c r="E65" s="31">
        <f>SUM(E61:E64)</f>
        <v>0</v>
      </c>
    </row>
  </sheetData>
  <sheetProtection algorithmName="SHA-512" hashValue="5FdIBMyjbDV5KYd8nIH4Ts07hg+gscq0IEmIzwNS2reOUmCcHw8gH2DNb3sHO8vxA+zf+haf8pnkZ+JSRDuT5Q==" saltValue="oVK+Jucp4DE7JXSZXyCcYA==" spinCount="100000" sheet="1" objects="1" selectLockedCells="1"/>
  <mergeCells count="38">
    <mergeCell ref="F16:F18"/>
    <mergeCell ref="L15:L17"/>
    <mergeCell ref="F19:F22"/>
    <mergeCell ref="F30:F32"/>
    <mergeCell ref="F23:F25"/>
    <mergeCell ref="L18:L21"/>
    <mergeCell ref="L22:L25"/>
    <mergeCell ref="L26:L29"/>
    <mergeCell ref="L30:L32"/>
    <mergeCell ref="B1:L1"/>
    <mergeCell ref="B6:C6"/>
    <mergeCell ref="B4:L4"/>
    <mergeCell ref="F12:F15"/>
    <mergeCell ref="B2:L2"/>
    <mergeCell ref="B3:L3"/>
    <mergeCell ref="B10:L10"/>
    <mergeCell ref="L12:L14"/>
    <mergeCell ref="B65:D65"/>
    <mergeCell ref="F33:F36"/>
    <mergeCell ref="F26:F29"/>
    <mergeCell ref="F41:F44"/>
    <mergeCell ref="F45:F48"/>
    <mergeCell ref="F37:F40"/>
    <mergeCell ref="B63:C63"/>
    <mergeCell ref="B60:E60"/>
    <mergeCell ref="F49:F51"/>
    <mergeCell ref="B64:C64"/>
    <mergeCell ref="B62:C62"/>
    <mergeCell ref="B61:C61"/>
    <mergeCell ref="F52:F54"/>
    <mergeCell ref="F55:F57"/>
    <mergeCell ref="L53:L55"/>
    <mergeCell ref="L33:L35"/>
    <mergeCell ref="L36:L38"/>
    <mergeCell ref="L39:L41"/>
    <mergeCell ref="L42:L44"/>
    <mergeCell ref="L49:L52"/>
    <mergeCell ref="L45:L48"/>
  </mergeCells>
  <hyperlinks>
    <hyperlink ref="B12" location="'10m Air Pistol'!A1" display="10 Metre Air Pistol" xr:uid="{14849F90-EEC1-43BF-A69C-B375B9AC0E61}"/>
    <hyperlink ref="B16" location="'10m Air Pistol (Supp rest)'!A1" display="10m Air Pistol (Supp rest)" xr:uid="{8E325AA1-3B9A-4CEA-9A08-00A1DA52F172}"/>
    <hyperlink ref="B19" location="'10m Air Rifle'!A1" display="10 Metre Air Rifle" xr:uid="{916045CE-63E7-4E39-A57A-414053FF3527}"/>
    <hyperlink ref="B23" location="'10m Air Rifle (Supp rest)'!A1" display="10m Air Rifle (Supp rest)" xr:uid="{5C6DB318-45D3-4CDD-B6E6-4DBB95CDCD99}"/>
    <hyperlink ref="B26" location="'20Yd Pistol'!A1" display="20Yd Pistol (Air or Rimfire)" xr:uid="{D750173C-F1F3-4567-A1AE-87AB583DDF7D}"/>
    <hyperlink ref="B30" location="'6Yd Air Pistol'!A1" display="6 Yd Air Pistol" xr:uid="{44C4B407-CAE9-470A-BA78-8DB03D6F40A4}"/>
    <hyperlink ref="B33" location="'Bench 100yd'!A1" display="Bench 100yd" xr:uid="{3E9E60BB-1DA5-4A4C-9744-B08F6BACCF9C}"/>
    <hyperlink ref="B37" location="'Bench 50m'!A1" display="Bench 50m" xr:uid="{A1DCD938-AD98-41B1-A966-0097AAD13EBE}"/>
    <hyperlink ref="B41" location="'Bench SR (Air)'!A1" display="Bench SR (Air)" xr:uid="{C98AF824-178C-4C85-B335-E3BB3E72D3C5}"/>
    <hyperlink ref="B45" location="'Bench SR (Rim)'!A1" display="Bench SR (Rim)" xr:uid="{CF1B7C1B-DF8E-4867-B59D-0381F4A12089}"/>
    <hyperlink ref="B49" location="'Gallery Rifle Any'!A1" display="Gallery Rifle Any" xr:uid="{730C4C26-A1E5-431B-80B1-F70943D5A25B}"/>
    <hyperlink ref="B52" location="'Gallery Rifle Iron'!A1" display="Gallery Rifle Iron" xr:uid="{D70E0DB7-EBBF-4414-A9D0-D64F209C35E1}"/>
    <hyperlink ref="B55" location="'L-Barrelled Revolver Any'!A1" display="L-Barrelled Revolver Any" xr:uid="{05A9952A-7F18-4888-9AF5-CE9F91644B0F}"/>
    <hyperlink ref="H12" location="'L-Barrelled Revolver Iron'!A1" display="L-Barrelled Revolver Iron" xr:uid="{8B5083FE-B864-49ED-9A00-F18F931E960F}"/>
    <hyperlink ref="H15" location="'Long Barrelled Pistol'!A1" display="Long-barrelled Pistol" xr:uid="{CD418BE8-80C8-484F-BEBA-454041760E5A}"/>
    <hyperlink ref="H18" location="'LR Rifle 100 Any'!A1" display="LR Rifle 100 Any" xr:uid="{7CE3D15B-042C-44B1-BD25-C3BEFBC2473F}"/>
    <hyperlink ref="H26" location="'LR Rifle Dewar'!A1" display="LR Rifle Dewar" xr:uid="{143D4670-86FD-4E19-ADE0-9DE76F1EC874}"/>
    <hyperlink ref="H30" location="'Muzzle-loading Nitro'!A1" display="Muzzle Loading Nitro" xr:uid="{A3A61EE3-3C48-4F70-BD29-E8AD6E522103}"/>
    <hyperlink ref="H33" location="'Muzzle-loading Pistol'!A1" display="Muzzle Loading Pistol" xr:uid="{851F8404-8749-465A-BFDC-8051F7254B13}"/>
    <hyperlink ref="H36" location="'Muzzle-loading Revolver'!A1" display="Muzzle Loading Revolver" xr:uid="{347E6FF7-64A8-4052-A55E-906FDCECFFE0}"/>
    <hyperlink ref="H39" location="'Rapid Fire Air Pistol'!A1" display="Rapid Fire Air Pistol  " xr:uid="{D2AD7E15-F9A1-4CEA-96B9-C85432DBE5F8}"/>
    <hyperlink ref="H42" location="'Rapid Fire Rifle'!A1" display="Rapid Fire Rifle" xr:uid="{48F1552E-4AE0-4E4C-B9D9-5A39F7CC8B1C}"/>
    <hyperlink ref="H45" location="'Short Range Rifle'!A1" display="Short Range Rifle" xr:uid="{558FD86A-4F54-449C-B552-C6EC38B15C05}"/>
    <hyperlink ref="H49" location="'Sport Rifle'!A1" display="Sport Rifle" xr:uid="{AEBD64A5-6273-4CBA-B89C-16A18A871260}"/>
    <hyperlink ref="H53" location="'SR Standard Pistol'!A1" display="SR Standard Pistol (Air or Rimfire)" xr:uid="{7C922E6B-DD06-4D55-8D0A-F65F825B0A39}"/>
    <hyperlink ref="H22" location="'LR Rifle 50 Iron'!A1" display="LR Rifle 50 Iron" xr:uid="{11694EE7-3D28-4D84-B3FE-DD4904F71C7B}"/>
  </hyperlinks>
  <printOptions horizontalCentered="1" verticalCentered="1"/>
  <pageMargins left="0.70866141732283472" right="0.70866141732283472" top="0.44" bottom="0.36" header="0.27559055118110237" footer="0.19685039370078741"/>
  <pageSetup paperSize="9" scale="57" orientation="landscape" r:id="rId1"/>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D500C-4152-43C5-86C8-C2FEA33DBEF4}">
  <sheetPr codeName="Sheet10">
    <tabColor rgb="FF9BC2E6"/>
  </sheetPr>
  <dimension ref="A1:F21"/>
  <sheetViews>
    <sheetView showGridLines="0" showRowColHeaders="0" workbookViewId="0">
      <pane ySplit="8" topLeftCell="A9" activePane="bottomLeft" state="frozen"/>
      <selection pane="bottomLeft" activeCell="B4" sqref="B4"/>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IF(COUNTIFS(stperrs,"?*")&gt;0,"Errors on the sheet, please see below the table","")</f>
        <v/>
      </c>
      <c r="D4" s="80"/>
    </row>
    <row r="5" spans="1:6" x14ac:dyDescent="0.25">
      <c r="A5" s="9"/>
      <c r="B5" s="69" t="s">
        <v>42</v>
      </c>
      <c r="C5" s="9"/>
      <c r="D5" s="9"/>
    </row>
    <row r="6" spans="1:6" ht="18.75" thickBot="1" x14ac:dyDescent="0.3">
      <c r="A6" s="10"/>
      <c r="B6" s="207" t="s">
        <v>70</v>
      </c>
      <c r="C6" s="207"/>
      <c r="D6" s="7" t="s">
        <v>4</v>
      </c>
    </row>
    <row r="7" spans="1:6" ht="18.75" hidden="1" thickBot="1" x14ac:dyDescent="0.3">
      <c r="A7" s="10"/>
      <c r="B7" s="3"/>
      <c r="C7" s="7"/>
      <c r="D7" s="11"/>
    </row>
    <row r="8" spans="1:6" ht="51" thickBot="1" x14ac:dyDescent="0.3">
      <c r="A8" s="72" t="s">
        <v>39</v>
      </c>
      <c r="B8" s="73" t="s">
        <v>43</v>
      </c>
      <c r="C8" s="74" t="s">
        <v>59</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thickBot="1" x14ac:dyDescent="0.3">
      <c r="A18" s="89">
        <v>10</v>
      </c>
      <c r="B18" s="66"/>
      <c r="C18" s="53"/>
      <c r="D18" s="65"/>
      <c r="E18" s="13"/>
    </row>
    <row r="19" spans="1:5" x14ac:dyDescent="0.25">
      <c r="A19" s="9"/>
      <c r="B19" s="4" t="str">
        <f>IF(COUNTA(stpnms)&lt;&gt;COUNT(stpavs)," Mismatch between number of Names and number of Averages. Please check.","")</f>
        <v/>
      </c>
      <c r="C19" s="12"/>
      <c r="D19" s="12"/>
    </row>
    <row r="20" spans="1:5" x14ac:dyDescent="0.25">
      <c r="B20" s="4" t="str">
        <f>IF(COUNTA(stpjs)&gt;COUNTA(stpnms)," There are more Juns/Sens than the total number of entrants","")</f>
        <v/>
      </c>
    </row>
    <row r="21" spans="1:5" x14ac:dyDescent="0.25">
      <c r="B21" s="4"/>
    </row>
  </sheetData>
  <sheetProtection algorithmName="SHA-512" hashValue="2+YEUHFAY//JbqAHcg7YIXKN3C/KiUOmor8F1oRvvnbk6z5Hh6Ez9Sk/bFScn6MRbmGiU4gPQ4H3M0eJZkNZNg==" saltValue="L5N0sKKYmEZQGshkwMKvag==" spinCount="100000" sheet="1" objects="1" selectLockedCells="1"/>
  <mergeCells count="4">
    <mergeCell ref="A1:E1"/>
    <mergeCell ref="A2:E2"/>
    <mergeCell ref="A3:E3"/>
    <mergeCell ref="B6:C6"/>
  </mergeCells>
  <dataValidations count="3">
    <dataValidation type="decimal" allowBlank="1" showInputMessage="1" showErrorMessage="1" errorTitle="Data error" error="Average must be between 1 and 300." sqref="C11:C18" xr:uid="{37BC65D1-93EC-4B6B-AC5B-07221D9CDAAF}">
      <formula1>1</formula1>
      <formula2>300</formula2>
    </dataValidation>
    <dataValidation type="custom" allowBlank="1" showInputMessage="1" showErrorMessage="1" errorTitle="Data error" error="Enter J or S (upper or lower case) to make an entry in the Junior or Senior competition." sqref="D9:D18" xr:uid="{17C15953-F79B-4D10-94A4-3BF509A0029B}">
      <formula1>OR(D9="J",D9="J",D9="s",D9="S")</formula1>
    </dataValidation>
    <dataValidation type="decimal" allowBlank="1" showInputMessage="1" showErrorMessage="1" errorTitle="Data error" error="Average must be between 1 and 200." sqref="C9:C10" xr:uid="{E3B5904A-E719-4A1A-9365-FA04A47E1FE2}">
      <formula1>1</formula1>
      <formula2>200</formula2>
    </dataValidation>
  </dataValidations>
  <hyperlinks>
    <hyperlink ref="B4" location="summstp" display="Go to Summary sheet" xr:uid="{54324A01-1C6A-4B89-BD7C-92F67D4BBCAE}"/>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FB34D-B047-4F25-BD0B-96EF7BAE9284}">
  <sheetPr codeName="Sheet2"/>
  <dimension ref="A1"/>
  <sheetViews>
    <sheetView workbookViewId="0">
      <selection sqref="A1:G90"/>
    </sheetView>
  </sheetViews>
  <sheetFormatPr defaultColWidth="8.85546875" defaultRowHeight="15" x14ac:dyDescent="0.25"/>
  <sheetData/>
  <sortState xmlns:xlrd2="http://schemas.microsoft.com/office/spreadsheetml/2017/richdata2" ref="A1:G90">
    <sortCondition ref="A1:A90"/>
    <sortCondition ref="B1:B90"/>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0E74-7046-4FD5-811D-3B9C4F380795}">
  <sheetPr codeName="Sheet5">
    <tabColor rgb="FF660066"/>
  </sheetPr>
  <dimension ref="A1"/>
  <sheetViews>
    <sheetView showGridLines="0" showRowColHeaders="0" workbookViewId="0">
      <selection activeCell="B1" sqref="B1"/>
    </sheetView>
  </sheetViews>
  <sheetFormatPr defaultColWidth="8.85546875" defaultRowHeight="15" x14ac:dyDescent="0.25"/>
  <cols>
    <col min="1" max="1" width="2.28515625" customWidth="1"/>
  </cols>
  <sheetData/>
  <sheetProtection algorithmName="SHA-512" hashValue="cq5Ss56hAyf5zVLYYHRhWHqYHKoB33vg8O3kbHLhyt+i5XVE7V5808SzIFEcQc54lFyZZ1w6yi1H0GREto/iNA==" saltValue="oAcVusUOXs3KRYjoyIywHQ==" spinCount="100000" sheet="1" objects="1" select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A13B2-C384-42BE-8B88-77107D87AB1F}">
  <sheetPr codeName="Sheet51">
    <tabColor rgb="FF70AD47"/>
  </sheetPr>
  <dimension ref="A1:G39"/>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IF(COUNTIFS(aperrs,"?*")&gt;0,"Errors on the sheet, please see below the table","")</f>
        <v/>
      </c>
    </row>
    <row r="5" spans="1:7" x14ac:dyDescent="0.25">
      <c r="A5" s="9"/>
      <c r="B5" s="69" t="s">
        <v>40</v>
      </c>
      <c r="C5" s="9"/>
      <c r="D5" s="9"/>
    </row>
    <row r="6" spans="1:7" ht="18.75" thickBot="1" x14ac:dyDescent="0.3">
      <c r="A6" s="10"/>
      <c r="B6" s="207" t="s">
        <v>94</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33"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x14ac:dyDescent="0.25">
      <c r="A28" s="89">
        <v>20</v>
      </c>
      <c r="B28" s="51"/>
      <c r="C28" s="19"/>
      <c r="D28" s="20"/>
      <c r="E28" s="20"/>
      <c r="F28" s="52"/>
      <c r="G28" s="68" t="str">
        <f t="shared" si="0"/>
        <v/>
      </c>
    </row>
    <row r="29" spans="1:7" ht="15" customHeight="1" x14ac:dyDescent="0.25">
      <c r="A29" s="89">
        <v>21</v>
      </c>
      <c r="B29" s="51"/>
      <c r="C29" s="19"/>
      <c r="D29" s="20"/>
      <c r="E29" s="20"/>
      <c r="F29" s="52"/>
      <c r="G29" s="68" t="str">
        <f t="shared" si="0"/>
        <v/>
      </c>
    </row>
    <row r="30" spans="1:7" ht="15" customHeight="1" x14ac:dyDescent="0.25">
      <c r="A30" s="89">
        <v>22</v>
      </c>
      <c r="B30" s="51"/>
      <c r="C30" s="19"/>
      <c r="D30" s="20"/>
      <c r="E30" s="20"/>
      <c r="F30" s="52"/>
      <c r="G30" s="68" t="str">
        <f t="shared" si="0"/>
        <v/>
      </c>
    </row>
    <row r="31" spans="1:7" ht="15" customHeight="1" x14ac:dyDescent="0.25">
      <c r="A31" s="89">
        <v>23</v>
      </c>
      <c r="B31" s="51"/>
      <c r="C31" s="19"/>
      <c r="D31" s="20"/>
      <c r="E31" s="20"/>
      <c r="F31" s="52"/>
      <c r="G31" s="68" t="str">
        <f t="shared" si="0"/>
        <v/>
      </c>
    </row>
    <row r="32" spans="1:7" ht="15" customHeight="1" x14ac:dyDescent="0.25">
      <c r="A32" s="89">
        <v>24</v>
      </c>
      <c r="B32" s="51"/>
      <c r="C32" s="19"/>
      <c r="D32" s="20"/>
      <c r="E32" s="20"/>
      <c r="F32" s="52"/>
      <c r="G32" s="68" t="str">
        <f t="shared" si="0"/>
        <v/>
      </c>
    </row>
    <row r="33" spans="1:7" ht="15" customHeight="1" thickBot="1" x14ac:dyDescent="0.3">
      <c r="A33" s="89">
        <v>25</v>
      </c>
      <c r="B33" s="55"/>
      <c r="C33" s="53"/>
      <c r="D33" s="56"/>
      <c r="E33" s="56"/>
      <c r="F33" s="54"/>
      <c r="G33" s="68" t="str">
        <f t="shared" si="0"/>
        <v/>
      </c>
    </row>
    <row r="34" spans="1:7" x14ac:dyDescent="0.25">
      <c r="B34" s="4" t="str">
        <f>IF(COUNTA(apnms)&gt;COUNT(apavs)," There are more Names than Averages. Please check.","")</f>
        <v/>
      </c>
    </row>
    <row r="35" spans="1:7" x14ac:dyDescent="0.25">
      <c r="B35" s="4" t="str">
        <f>IF(COUNTA(apnms)&lt;COUNT(apavs)," There are more Averages than Names. Please check.","")</f>
        <v/>
      </c>
    </row>
    <row r="36" spans="1:7" x14ac:dyDescent="0.25">
      <c r="B36" s="4" t="str">
        <f>IF(AND(COUNTA(aptms)&gt;0,MOD(COUNTA(aptms),3)&lt;&gt;0)," The number of team letters must be a multiple of 3.","")</f>
        <v/>
      </c>
    </row>
    <row r="37" spans="1:7" x14ac:dyDescent="0.25">
      <c r="B37" s="4" t="str">
        <f>IF(COUNTA(apjs)&gt;COUNTA(apinds)," There are more Juns/Sens than the number of individual entrants","")</f>
        <v/>
      </c>
    </row>
    <row r="38" spans="1:7" x14ac:dyDescent="0.25">
      <c r="B38" s="4" t="str">
        <f>IF(COUNTA(aptms)&gt;COUNTA(apnms)," There are more team letters than potential  team members.","")</f>
        <v/>
      </c>
    </row>
    <row r="39" spans="1:7" x14ac:dyDescent="0.25">
      <c r="B39" s="4" t="str">
        <f>IF(COUNTIFS(apchk,"?*")&gt;0," Name entered neither as an Individual nor as a Team member. See 'x' at side.","")</f>
        <v/>
      </c>
    </row>
  </sheetData>
  <sheetProtection algorithmName="SHA-512" hashValue="+H/s5j5puZ/Slxlo8jRboQ3BUan6yanbq/CEt/aWXUcnYmPGfAJT1o4EEjOofsuDCR4ig4qW4Dg3mxUnQj79bg==" saltValue="fl0ceI9MCQS5Di1UHuoyvg=="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33" xr:uid="{3E3E08D4-0E79-42D5-8462-1B11608DCA63}">
      <formula1>1</formula1>
      <formula2>200</formula2>
    </dataValidation>
    <dataValidation type="custom" allowBlank="1" showInputMessage="1" showErrorMessage="1" errorTitle="Data Error" error="Enter 'x' or 'X' for Individual entrants." sqref="D9:D33" xr:uid="{11772F38-1864-47F2-B524-AFF6AAC5E0B3}">
      <formula1>OR(EXACT(D9,"x"),EXACT(D9,"X"))</formula1>
    </dataValidation>
    <dataValidation type="custom" allowBlank="1" showInputMessage="1" showErrorMessage="1" errorTitle="Data error" error="Team letters must be one-charcater alphabetic." sqref="F9:F33" xr:uid="{367AEB17-3193-41A3-A83E-6C40330AD9AA}">
      <formula1>AND(LEN(F9)=1,ISTEXT(F9))</formula1>
    </dataValidation>
    <dataValidation type="custom" allowBlank="1" showInputMessage="1" showErrorMessage="1" errorTitle="Data error" error="error" sqref="K9" xr:uid="{482516A2-A216-4834-8F25-09F8B9BF2F21}">
      <formula1>AND(LEN(F9)=1,ISTEXT(F9))</formula1>
    </dataValidation>
    <dataValidation type="custom" allowBlank="1" showInputMessage="1" showErrorMessage="1" errorTitle="Data error" error="Enter 'J' or  S' (upper or lower case) to make an entry to the Junior or Senior competition." sqref="E9:E33" xr:uid="{694F6808-82B4-418E-B55C-46030D59D037}">
      <formula1>OR(E9="J",E9="J",E9="s",E9="S")</formula1>
    </dataValidation>
  </dataValidations>
  <hyperlinks>
    <hyperlink ref="B4" location="summap" display="Go to Summary sheet" xr:uid="{6866AA24-BADE-48FC-AC85-30FCB1264483}"/>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F64A3-B9CB-44DD-BF0A-E8EC990B18FD}">
  <sheetPr codeName="Sheet9">
    <tabColor rgb="FF70AD47"/>
  </sheetPr>
  <dimension ref="A1:F26"/>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IF(COUNTIFS(apsrerrs,"?*")&gt;0,"Errors on the sheet, please see below the table","")</f>
        <v/>
      </c>
      <c r="D4" s="80"/>
    </row>
    <row r="5" spans="1:6" x14ac:dyDescent="0.25">
      <c r="A5" s="9"/>
      <c r="B5" s="69" t="s">
        <v>42</v>
      </c>
      <c r="C5" s="9"/>
      <c r="D5" s="9"/>
    </row>
    <row r="6" spans="1:6" ht="18.75" thickBot="1" x14ac:dyDescent="0.3">
      <c r="A6" s="10"/>
      <c r="B6" s="207" t="s">
        <v>110</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thickBot="1" x14ac:dyDescent="0.3">
      <c r="A23" s="89">
        <v>15</v>
      </c>
      <c r="B23" s="66"/>
      <c r="C23" s="53"/>
      <c r="D23" s="65"/>
      <c r="E23" s="13"/>
    </row>
    <row r="24" spans="1:5" x14ac:dyDescent="0.25">
      <c r="A24" s="9"/>
      <c r="B24" s="4" t="str">
        <f>IF(COUNTA(apsrnms)&lt;&gt;COUNT(apsravs)," Mismatch between number of Names and number of Averages. Please check.","")</f>
        <v/>
      </c>
      <c r="C24" s="12"/>
      <c r="D24" s="12"/>
    </row>
    <row r="25" spans="1:5" x14ac:dyDescent="0.25">
      <c r="B25" s="4" t="str">
        <f>IF(COUNTA(apsrjs)&gt;COUNTA(apsrnms)," There are more Juns/Sens than the total number of entrants","")</f>
        <v/>
      </c>
    </row>
    <row r="26" spans="1:5" x14ac:dyDescent="0.25">
      <c r="B26" s="4"/>
    </row>
  </sheetData>
  <sheetProtection algorithmName="SHA-512" hashValue="dnD650/74ikxHU6GqgVO/rrXjddCF3Fq2g8Q9USxAtBAL5wB38MgB96ch9gxoWwOZbCB/N5Okl/FnRxZdbu1bQ==" saltValue="Xy1jfzNUjtlZ35h8Lr9AHw=="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23" xr:uid="{47CC69ED-D5FE-4D6F-84EE-17ACA62634A6}">
      <formula1>1</formula1>
      <formula2>200</formula2>
    </dataValidation>
    <dataValidation type="custom" allowBlank="1" showInputMessage="1" showErrorMessage="1" errorTitle="Data error" error="Enter J or S (upper or lower case) to make an entry in the Junior or Senior competition." sqref="D9:D23" xr:uid="{5E6A39EB-DD8E-43F5-936C-69B47F65ED60}">
      <formula1>OR(D9="J",D9="J",D9="s",D9="S")</formula1>
    </dataValidation>
  </dataValidations>
  <hyperlinks>
    <hyperlink ref="B4" location="summapsr" display="Go to Summary sheet" xr:uid="{5221588C-917A-44DE-8586-53DC3578C5E4}"/>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35282-CE66-4A1A-B696-5DF6B8474B47}">
  <sheetPr codeName="Sheet52">
    <tabColor rgb="FFCC0000"/>
  </sheetPr>
  <dimension ref="A1:G29"/>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IF(COUNTIFS(arerrs,"?*")&gt;0,"Errors on the sheet, please see below the table","")</f>
        <v/>
      </c>
    </row>
    <row r="5" spans="1:7" x14ac:dyDescent="0.25">
      <c r="A5" s="9"/>
      <c r="B5" s="69" t="s">
        <v>40</v>
      </c>
      <c r="C5" s="9"/>
      <c r="D5" s="9"/>
    </row>
    <row r="6" spans="1:7" ht="18.75" thickBot="1" x14ac:dyDescent="0.3">
      <c r="A6" s="10"/>
      <c r="B6" s="207" t="s">
        <v>95</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23"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thickBot="1" x14ac:dyDescent="0.3">
      <c r="A23" s="89">
        <v>15</v>
      </c>
      <c r="B23" s="55"/>
      <c r="C23" s="53"/>
      <c r="D23" s="56"/>
      <c r="E23" s="56"/>
      <c r="F23" s="54"/>
      <c r="G23" s="68" t="str">
        <f t="shared" si="0"/>
        <v/>
      </c>
    </row>
    <row r="24" spans="1:7" x14ac:dyDescent="0.25">
      <c r="B24" s="4" t="str">
        <f>IF(COUNTA(arnms)&gt;COUNT(aravs)," There are more Names than Averages. Please check.","")</f>
        <v/>
      </c>
    </row>
    <row r="25" spans="1:7" x14ac:dyDescent="0.25">
      <c r="B25" s="4" t="str">
        <f>IF(COUNTA(arnms)&lt;COUNT(aravs)," There are more Averages than Names. Please check.","")</f>
        <v/>
      </c>
    </row>
    <row r="26" spans="1:7" x14ac:dyDescent="0.25">
      <c r="B26" s="4" t="str">
        <f>IF(AND(COUNTA(artms)&gt;0,MOD(COUNTA(artms),3)&lt;&gt;0)," The number of team letters must be a multiple of 3.","")</f>
        <v/>
      </c>
    </row>
    <row r="27" spans="1:7" x14ac:dyDescent="0.25">
      <c r="B27" s="4" t="str">
        <f>IF(COUNTA(arjs)&gt;COUNTA(arinds)," There are more Juns/Sens than the number of individual entrants","")</f>
        <v/>
      </c>
    </row>
    <row r="28" spans="1:7" x14ac:dyDescent="0.25">
      <c r="B28" s="4" t="str">
        <f>IF(COUNTA(artms)&gt;COUNTA(arnms)," There are more team letters than potential  team members.","")</f>
        <v/>
      </c>
    </row>
    <row r="29" spans="1:7" x14ac:dyDescent="0.25">
      <c r="B29" s="4" t="str">
        <f>IF(COUNTIFS(archk,"?*")&gt;0," Name entered neither as an Individual nor as a Team member. See 'x' at side.","")</f>
        <v/>
      </c>
    </row>
  </sheetData>
  <sheetProtection algorithmName="SHA-512" hashValue="U19JArnx7zvh5rMHOHr4MtC289mFbe6ODeIgvGSbwL/3DKJYYS/KVtf8VJrYNUAg0qERLa1QvV2p7orNfRGC/A==" saltValue="11Xj7qCDZp8eOzLvrT3hUg=="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23" xr:uid="{6D892A9C-B2A7-4CD2-BBE3-2AC43DC425B7}">
      <formula1>1</formula1>
      <formula2>200</formula2>
    </dataValidation>
    <dataValidation type="custom" allowBlank="1" showInputMessage="1" showErrorMessage="1" errorTitle="Data Error" error="Enter 'x' or 'X' for Individual entrants." sqref="D9:D23" xr:uid="{632B8A1E-90F1-404B-A13B-E9FD4DF34107}">
      <formula1>OR(EXACT(D9,"x"),EXACT(D9,"X"))</formula1>
    </dataValidation>
    <dataValidation type="custom" allowBlank="1" showInputMessage="1" showErrorMessage="1" errorTitle="Data error" error="Team letters must be one-charcater alphabetic." sqref="F9:F23" xr:uid="{FAE962C2-A9DA-44A8-B6BD-D665F391B9EC}">
      <formula1>AND(LEN(F9)=1,ISTEXT(F9))</formula1>
    </dataValidation>
    <dataValidation type="custom" allowBlank="1" showInputMessage="1" showErrorMessage="1" errorTitle="Data error" error="error" sqref="K9" xr:uid="{3CE35EDF-376C-4E46-A3E5-84BAD5CCC224}">
      <formula1>AND(LEN(F9)=1,ISTEXT(F9))</formula1>
    </dataValidation>
    <dataValidation type="custom" allowBlank="1" showInputMessage="1" showErrorMessage="1" errorTitle="Data error" error="Enter 'J' or  S' (upper or lower case) to make an entry to the Junior or Senior competition." sqref="E9:E23" xr:uid="{EA2D0294-3759-4FD7-97D2-5000FF81F169}">
      <formula1>OR(E9="J",E9="J",E9="s",E9="S")</formula1>
    </dataValidation>
  </dataValidations>
  <hyperlinks>
    <hyperlink ref="B4" location="summar" display="Go to Summary sheet" xr:uid="{F6CEC100-3DAA-4E76-83B3-315E8CDEA0C2}"/>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C021-B81A-4A27-8B3A-9C4A6036CBBD}">
  <sheetPr codeName="Sheet11">
    <tabColor rgb="FFCC0000"/>
  </sheetPr>
  <dimension ref="A1:F26"/>
  <sheetViews>
    <sheetView showGridLines="0" showRowColHeaders="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46.7109375" customWidth="1"/>
    <col min="3" max="4" width="12.7109375" customWidth="1"/>
    <col min="5" max="5" width="9.140625" customWidth="1"/>
  </cols>
  <sheetData>
    <row r="1" spans="1:6" ht="24" customHeight="1" x14ac:dyDescent="0.25">
      <c r="A1" s="208" t="s">
        <v>8</v>
      </c>
      <c r="B1" s="208"/>
      <c r="C1" s="208"/>
      <c r="D1" s="208"/>
      <c r="E1" s="208"/>
      <c r="F1" s="67"/>
    </row>
    <row r="2" spans="1:6" ht="18" customHeight="1" x14ac:dyDescent="0.3">
      <c r="A2" s="206" t="str">
        <f>CONCATENATE("Entry Form for ", season)</f>
        <v>Entry Form for Winter 2025-26 Leagues</v>
      </c>
      <c r="B2" s="206"/>
      <c r="C2" s="206"/>
      <c r="D2" s="206"/>
      <c r="E2" s="206"/>
      <c r="F2" s="70"/>
    </row>
    <row r="3" spans="1:6" ht="18" customHeight="1" x14ac:dyDescent="0.3">
      <c r="A3" s="206" t="str">
        <f>clubname</f>
        <v>your club</v>
      </c>
      <c r="B3" s="206"/>
      <c r="C3" s="206"/>
      <c r="D3" s="206"/>
      <c r="E3" s="206"/>
      <c r="F3" s="70"/>
    </row>
    <row r="4" spans="1:6" ht="18" customHeight="1" x14ac:dyDescent="0.3">
      <c r="B4" s="108" t="s">
        <v>73</v>
      </c>
      <c r="C4" s="71" t="str">
        <f>IF(COUNTIFS(arsrerrs,"?*")&gt;0,"Errors on the sheet, please see below the table","")</f>
        <v/>
      </c>
      <c r="D4" s="80"/>
    </row>
    <row r="5" spans="1:6" x14ac:dyDescent="0.25">
      <c r="A5" s="9"/>
      <c r="B5" s="69" t="s">
        <v>42</v>
      </c>
      <c r="C5" s="9"/>
      <c r="D5" s="9"/>
    </row>
    <row r="6" spans="1:6" ht="18.75" thickBot="1" x14ac:dyDescent="0.3">
      <c r="A6" s="10"/>
      <c r="B6" s="207" t="s">
        <v>109</v>
      </c>
      <c r="C6" s="207"/>
      <c r="D6" s="7" t="s">
        <v>4</v>
      </c>
    </row>
    <row r="7" spans="1:6" ht="18.75" hidden="1" thickBot="1" x14ac:dyDescent="0.3">
      <c r="A7" s="10"/>
      <c r="B7" s="3"/>
      <c r="C7" s="7"/>
      <c r="D7" s="11"/>
    </row>
    <row r="8" spans="1:6" ht="51" thickBot="1" x14ac:dyDescent="0.3">
      <c r="A8" s="72" t="s">
        <v>39</v>
      </c>
      <c r="B8" s="73" t="s">
        <v>43</v>
      </c>
      <c r="C8" s="74" t="s">
        <v>44</v>
      </c>
      <c r="D8" s="46" t="s">
        <v>46</v>
      </c>
    </row>
    <row r="9" spans="1:6" ht="15" customHeight="1" x14ac:dyDescent="0.25">
      <c r="A9" s="89">
        <v>1</v>
      </c>
      <c r="B9" s="81"/>
      <c r="C9" s="48"/>
      <c r="D9" s="82"/>
      <c r="E9" s="13"/>
    </row>
    <row r="10" spans="1:6" ht="15" customHeight="1" x14ac:dyDescent="0.25">
      <c r="A10" s="89">
        <v>2</v>
      </c>
      <c r="B10" s="83"/>
      <c r="C10" s="84"/>
      <c r="D10" s="85"/>
      <c r="E10" s="13"/>
    </row>
    <row r="11" spans="1:6" ht="15" customHeight="1" x14ac:dyDescent="0.25">
      <c r="A11" s="89">
        <v>3</v>
      </c>
      <c r="B11" s="83"/>
      <c r="C11" s="84"/>
      <c r="D11" s="85"/>
      <c r="E11" s="13"/>
    </row>
    <row r="12" spans="1:6" ht="15" customHeight="1" x14ac:dyDescent="0.25">
      <c r="A12" s="89">
        <v>4</v>
      </c>
      <c r="B12" s="83"/>
      <c r="C12" s="84"/>
      <c r="D12" s="85"/>
      <c r="E12" s="13"/>
    </row>
    <row r="13" spans="1:6" ht="15" customHeight="1" x14ac:dyDescent="0.25">
      <c r="A13" s="89">
        <v>5</v>
      </c>
      <c r="B13" s="83"/>
      <c r="C13" s="84"/>
      <c r="D13" s="85"/>
      <c r="E13" s="13"/>
    </row>
    <row r="14" spans="1:6" ht="15" customHeight="1" x14ac:dyDescent="0.25">
      <c r="A14" s="89">
        <v>6</v>
      </c>
      <c r="B14" s="83"/>
      <c r="C14" s="84"/>
      <c r="D14" s="85"/>
      <c r="E14" s="13"/>
    </row>
    <row r="15" spans="1:6" ht="15" customHeight="1" x14ac:dyDescent="0.25">
      <c r="A15" s="89">
        <v>7</v>
      </c>
      <c r="B15" s="83"/>
      <c r="C15" s="84"/>
      <c r="D15" s="85"/>
      <c r="E15" s="13"/>
    </row>
    <row r="16" spans="1:6" ht="15" customHeight="1" x14ac:dyDescent="0.25">
      <c r="A16" s="89">
        <v>8</v>
      </c>
      <c r="B16" s="83"/>
      <c r="C16" s="84"/>
      <c r="D16" s="85"/>
      <c r="E16" s="13"/>
    </row>
    <row r="17" spans="1:5" ht="15" customHeight="1" x14ac:dyDescent="0.25">
      <c r="A17" s="89">
        <v>9</v>
      </c>
      <c r="B17" s="83"/>
      <c r="C17" s="84"/>
      <c r="D17" s="85"/>
      <c r="E17" s="13"/>
    </row>
    <row r="18" spans="1:5" ht="15" customHeight="1" x14ac:dyDescent="0.25">
      <c r="A18" s="89">
        <v>10</v>
      </c>
      <c r="B18" s="83"/>
      <c r="C18" s="84"/>
      <c r="D18" s="85"/>
      <c r="E18" s="13"/>
    </row>
    <row r="19" spans="1:5" ht="15" customHeight="1" x14ac:dyDescent="0.25">
      <c r="A19" s="89">
        <v>11</v>
      </c>
      <c r="B19" s="83"/>
      <c r="C19" s="84"/>
      <c r="D19" s="85"/>
      <c r="E19" s="13"/>
    </row>
    <row r="20" spans="1:5" ht="15" customHeight="1" x14ac:dyDescent="0.25">
      <c r="A20" s="89">
        <v>12</v>
      </c>
      <c r="B20" s="83"/>
      <c r="C20" s="84"/>
      <c r="D20" s="85"/>
      <c r="E20" s="13"/>
    </row>
    <row r="21" spans="1:5" ht="15" customHeight="1" x14ac:dyDescent="0.25">
      <c r="A21" s="89">
        <v>13</v>
      </c>
      <c r="B21" s="83"/>
      <c r="C21" s="84"/>
      <c r="D21" s="85"/>
      <c r="E21" s="13"/>
    </row>
    <row r="22" spans="1:5" ht="15" customHeight="1" x14ac:dyDescent="0.25">
      <c r="A22" s="89">
        <v>14</v>
      </c>
      <c r="B22" s="83"/>
      <c r="C22" s="84"/>
      <c r="D22" s="85"/>
      <c r="E22" s="13"/>
    </row>
    <row r="23" spans="1:5" ht="15" customHeight="1" thickBot="1" x14ac:dyDescent="0.3">
      <c r="A23" s="89">
        <v>15</v>
      </c>
      <c r="B23" s="66"/>
      <c r="C23" s="53"/>
      <c r="D23" s="65"/>
      <c r="E23" s="13"/>
    </row>
    <row r="24" spans="1:5" x14ac:dyDescent="0.25">
      <c r="A24" s="9"/>
      <c r="B24" s="4" t="str">
        <f>IF(COUNTA(arsrnms)&lt;&gt;COUNT(arsravs)," Mismatch between number of Names and number of Averages. Please check.","")</f>
        <v/>
      </c>
      <c r="C24" s="12"/>
      <c r="D24" s="12"/>
    </row>
    <row r="25" spans="1:5" x14ac:dyDescent="0.25">
      <c r="B25" s="4" t="str">
        <f>IF(COUNTA(arsrjs)&gt;COUNTA(arsrnms)," There are more Juns/Sens than the total number of entrants","")</f>
        <v/>
      </c>
    </row>
    <row r="26" spans="1:5" x14ac:dyDescent="0.25">
      <c r="B26" s="4"/>
    </row>
  </sheetData>
  <sheetProtection algorithmName="SHA-512" hashValue="UDJQNbvOYtMkyod6ghy9pmkHw0S7GzJE0WUTfw34g9fdkZxt4NTcnQVqDLiicnXsmgsw19wDUa1HQpl2auBZcw==" saltValue="5cmYwAeMG/opeea0gTXYwQ==" spinCount="100000" sheet="1" objects="1" selectLockedCells="1"/>
  <mergeCells count="4">
    <mergeCell ref="A1:E1"/>
    <mergeCell ref="A2:E2"/>
    <mergeCell ref="A3:E3"/>
    <mergeCell ref="B6:C6"/>
  </mergeCells>
  <dataValidations count="2">
    <dataValidation type="decimal" allowBlank="1" showInputMessage="1" showErrorMessage="1" errorTitle="Data error" error="Average must be between 1 and 200." sqref="C9:C23" xr:uid="{1F41AB53-48C3-4891-ABD0-531A5D673DFA}">
      <formula1>1</formula1>
      <formula2>200</formula2>
    </dataValidation>
    <dataValidation type="custom" allowBlank="1" showInputMessage="1" showErrorMessage="1" errorTitle="Data error" error="Enter J or S (upper or lower case) to make an entry in the Junior or Senior competition." sqref="D9:D23" xr:uid="{E02E56A2-B72C-4024-86CA-50085DA14100}">
      <formula1>OR(D9="J",D9="J",D9="s",D9="S")</formula1>
    </dataValidation>
  </dataValidations>
  <hyperlinks>
    <hyperlink ref="B4" location="summarsr" display="Go to Summary sheet" xr:uid="{E72B8FF0-A17C-47C3-AFC4-EF69BDAC792E}"/>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7CFA1-A437-4B4B-B102-58FD8531F409}">
  <sheetPr codeName="Sheet53">
    <tabColor rgb="FFFFFF00"/>
  </sheetPr>
  <dimension ref="A1:G34"/>
  <sheetViews>
    <sheetView showGridLines="0" showRowColHeaders="0" zoomScaleNormal="100" workbookViewId="0">
      <pane ySplit="8" topLeftCell="A9" activePane="bottomLeft" state="frozen"/>
      <selection pane="bottomLeft" activeCell="B9" sqref="B9"/>
    </sheetView>
  </sheetViews>
  <sheetFormatPr defaultColWidth="8.85546875" defaultRowHeight="15" x14ac:dyDescent="0.25"/>
  <cols>
    <col min="1" max="1" width="5.7109375" customWidth="1"/>
    <col min="2" max="2" width="35" customWidth="1"/>
    <col min="3" max="6" width="12.7109375" customWidth="1"/>
    <col min="7" max="7" width="6" customWidth="1"/>
    <col min="8" max="8" width="9.140625" customWidth="1"/>
  </cols>
  <sheetData>
    <row r="1" spans="1:7" ht="24" customHeight="1" x14ac:dyDescent="0.3">
      <c r="B1" s="205" t="s">
        <v>8</v>
      </c>
      <c r="C1" s="205"/>
      <c r="D1" s="205"/>
      <c r="E1" s="205"/>
      <c r="F1" s="205"/>
    </row>
    <row r="2" spans="1:7" ht="18" customHeight="1" x14ac:dyDescent="0.3">
      <c r="B2" s="206" t="str">
        <f>CONCATENATE("Entry Form for ", season)</f>
        <v>Entry Form for Winter 2025-26 Leagues</v>
      </c>
      <c r="C2" s="206"/>
      <c r="D2" s="206"/>
      <c r="E2" s="206"/>
      <c r="F2" s="206"/>
    </row>
    <row r="3" spans="1:7" ht="18" customHeight="1" x14ac:dyDescent="0.3">
      <c r="A3" s="70"/>
      <c r="B3" s="206" t="str">
        <f>clubname</f>
        <v>your club</v>
      </c>
      <c r="C3" s="206"/>
      <c r="D3" s="206"/>
      <c r="E3" s="206"/>
      <c r="F3" s="206"/>
    </row>
    <row r="4" spans="1:7" ht="18" customHeight="1" x14ac:dyDescent="0.25">
      <c r="B4" s="108" t="s">
        <v>73</v>
      </c>
      <c r="C4" s="26"/>
      <c r="D4" s="71" t="str">
        <f>IF(COUNTIFS(ap20errs,"?*")&gt;0,"Errors on the sheet, please see below the table","")</f>
        <v/>
      </c>
    </row>
    <row r="5" spans="1:7" x14ac:dyDescent="0.25">
      <c r="A5" s="9"/>
      <c r="B5" s="69" t="s">
        <v>40</v>
      </c>
      <c r="C5" s="9"/>
      <c r="D5" s="9"/>
    </row>
    <row r="6" spans="1:7" ht="18.75" thickBot="1" x14ac:dyDescent="0.3">
      <c r="A6" s="10"/>
      <c r="B6" s="207" t="s">
        <v>96</v>
      </c>
      <c r="C6" s="207"/>
      <c r="D6" s="207"/>
      <c r="E6" s="8" t="s">
        <v>3</v>
      </c>
      <c r="F6" s="11"/>
    </row>
    <row r="7" spans="1:7" ht="18.75" hidden="1" thickBot="1" x14ac:dyDescent="0.3">
      <c r="A7" s="10"/>
      <c r="B7" s="2"/>
      <c r="D7" s="8"/>
      <c r="F7" s="11"/>
    </row>
    <row r="8" spans="1:7" ht="51" thickBot="1" x14ac:dyDescent="0.3">
      <c r="A8" s="72" t="s">
        <v>38</v>
      </c>
      <c r="B8" s="73" t="s">
        <v>43</v>
      </c>
      <c r="C8" s="74" t="s">
        <v>44</v>
      </c>
      <c r="D8" s="74" t="s">
        <v>45</v>
      </c>
      <c r="E8" s="74" t="s">
        <v>46</v>
      </c>
      <c r="F8" s="46" t="s">
        <v>47</v>
      </c>
    </row>
    <row r="9" spans="1:7" ht="15" customHeight="1" x14ac:dyDescent="0.25">
      <c r="A9" s="89">
        <v>1</v>
      </c>
      <c r="B9" s="47"/>
      <c r="C9" s="48"/>
      <c r="D9" s="49"/>
      <c r="E9" s="49"/>
      <c r="F9" s="50"/>
      <c r="G9" s="68" t="str">
        <f>IF(AND(B9&lt;&gt;"",D9="",F9=""),"x","")</f>
        <v/>
      </c>
    </row>
    <row r="10" spans="1:7" ht="15" customHeight="1" x14ac:dyDescent="0.25">
      <c r="A10" s="89">
        <v>2</v>
      </c>
      <c r="B10" s="51"/>
      <c r="C10" s="19"/>
      <c r="D10" s="20"/>
      <c r="E10" s="20"/>
      <c r="F10" s="52"/>
      <c r="G10" s="68" t="str">
        <f t="shared" ref="G10:G28" si="0">IF(AND(B10&lt;&gt;"",D10="",F10=""),"x","")</f>
        <v/>
      </c>
    </row>
    <row r="11" spans="1:7" ht="15" customHeight="1" x14ac:dyDescent="0.25">
      <c r="A11" s="89">
        <v>3</v>
      </c>
      <c r="B11" s="51"/>
      <c r="C11" s="19"/>
      <c r="D11" s="20"/>
      <c r="E11" s="20"/>
      <c r="F11" s="52"/>
      <c r="G11" s="68" t="str">
        <f t="shared" si="0"/>
        <v/>
      </c>
    </row>
    <row r="12" spans="1:7" ht="15" customHeight="1" x14ac:dyDescent="0.25">
      <c r="A12" s="89">
        <v>4</v>
      </c>
      <c r="B12" s="51"/>
      <c r="C12" s="19"/>
      <c r="D12" s="20"/>
      <c r="E12" s="20"/>
      <c r="F12" s="52"/>
      <c r="G12" s="68" t="str">
        <f t="shared" si="0"/>
        <v/>
      </c>
    </row>
    <row r="13" spans="1:7" ht="15" customHeight="1" x14ac:dyDescent="0.25">
      <c r="A13" s="89">
        <v>5</v>
      </c>
      <c r="B13" s="51"/>
      <c r="C13" s="19"/>
      <c r="D13" s="20"/>
      <c r="E13" s="20"/>
      <c r="F13" s="52"/>
      <c r="G13" s="68" t="str">
        <f t="shared" si="0"/>
        <v/>
      </c>
    </row>
    <row r="14" spans="1:7" ht="15" customHeight="1" x14ac:dyDescent="0.25">
      <c r="A14" s="89">
        <v>6</v>
      </c>
      <c r="B14" s="51"/>
      <c r="C14" s="19"/>
      <c r="D14" s="20"/>
      <c r="E14" s="20"/>
      <c r="F14" s="52"/>
      <c r="G14" s="68" t="str">
        <f t="shared" si="0"/>
        <v/>
      </c>
    </row>
    <row r="15" spans="1:7" ht="15" customHeight="1" x14ac:dyDescent="0.25">
      <c r="A15" s="89">
        <v>7</v>
      </c>
      <c r="B15" s="51"/>
      <c r="C15" s="19"/>
      <c r="D15" s="20"/>
      <c r="E15" s="20"/>
      <c r="F15" s="52"/>
      <c r="G15" s="68" t="str">
        <f t="shared" si="0"/>
        <v/>
      </c>
    </row>
    <row r="16" spans="1:7" ht="15" customHeight="1" x14ac:dyDescent="0.25">
      <c r="A16" s="89">
        <v>8</v>
      </c>
      <c r="B16" s="51"/>
      <c r="C16" s="19"/>
      <c r="D16" s="20"/>
      <c r="E16" s="20"/>
      <c r="F16" s="52"/>
      <c r="G16" s="68" t="str">
        <f t="shared" si="0"/>
        <v/>
      </c>
    </row>
    <row r="17" spans="1:7" ht="15" customHeight="1" x14ac:dyDescent="0.25">
      <c r="A17" s="89">
        <v>9</v>
      </c>
      <c r="B17" s="51"/>
      <c r="C17" s="19"/>
      <c r="D17" s="20"/>
      <c r="E17" s="20"/>
      <c r="F17" s="52"/>
      <c r="G17" s="68" t="str">
        <f t="shared" si="0"/>
        <v/>
      </c>
    </row>
    <row r="18" spans="1:7" ht="15" customHeight="1" x14ac:dyDescent="0.25">
      <c r="A18" s="89">
        <v>10</v>
      </c>
      <c r="B18" s="51"/>
      <c r="C18" s="19"/>
      <c r="D18" s="20"/>
      <c r="E18" s="20"/>
      <c r="F18" s="52"/>
      <c r="G18" s="68" t="str">
        <f t="shared" si="0"/>
        <v/>
      </c>
    </row>
    <row r="19" spans="1:7" ht="15" customHeight="1" x14ac:dyDescent="0.25">
      <c r="A19" s="89">
        <v>11</v>
      </c>
      <c r="B19" s="51"/>
      <c r="C19" s="19"/>
      <c r="D19" s="20"/>
      <c r="E19" s="20"/>
      <c r="F19" s="52"/>
      <c r="G19" s="68" t="str">
        <f t="shared" si="0"/>
        <v/>
      </c>
    </row>
    <row r="20" spans="1:7" ht="15" customHeight="1" x14ac:dyDescent="0.25">
      <c r="A20" s="89">
        <v>12</v>
      </c>
      <c r="B20" s="51"/>
      <c r="C20" s="19"/>
      <c r="D20" s="20"/>
      <c r="E20" s="20"/>
      <c r="F20" s="52"/>
      <c r="G20" s="68" t="str">
        <f t="shared" si="0"/>
        <v/>
      </c>
    </row>
    <row r="21" spans="1:7" ht="15" customHeight="1" x14ac:dyDescent="0.25">
      <c r="A21" s="89">
        <v>13</v>
      </c>
      <c r="B21" s="51"/>
      <c r="C21" s="19"/>
      <c r="D21" s="20"/>
      <c r="E21" s="20"/>
      <c r="F21" s="52"/>
      <c r="G21" s="68" t="str">
        <f t="shared" si="0"/>
        <v/>
      </c>
    </row>
    <row r="22" spans="1:7" ht="15" customHeight="1" x14ac:dyDescent="0.25">
      <c r="A22" s="89">
        <v>14</v>
      </c>
      <c r="B22" s="51"/>
      <c r="C22" s="19"/>
      <c r="D22" s="20"/>
      <c r="E22" s="20"/>
      <c r="F22" s="52"/>
      <c r="G22" s="68" t="str">
        <f t="shared" si="0"/>
        <v/>
      </c>
    </row>
    <row r="23" spans="1:7" ht="15" customHeight="1" x14ac:dyDescent="0.25">
      <c r="A23" s="89">
        <v>15</v>
      </c>
      <c r="B23" s="51"/>
      <c r="C23" s="19"/>
      <c r="D23" s="20"/>
      <c r="E23" s="20"/>
      <c r="F23" s="52"/>
      <c r="G23" s="68" t="str">
        <f t="shared" si="0"/>
        <v/>
      </c>
    </row>
    <row r="24" spans="1:7" ht="15" customHeight="1" x14ac:dyDescent="0.25">
      <c r="A24" s="89">
        <v>16</v>
      </c>
      <c r="B24" s="51"/>
      <c r="C24" s="19"/>
      <c r="D24" s="20"/>
      <c r="E24" s="20"/>
      <c r="F24" s="52"/>
      <c r="G24" s="68" t="str">
        <f t="shared" si="0"/>
        <v/>
      </c>
    </row>
    <row r="25" spans="1:7" ht="15" customHeight="1" x14ac:dyDescent="0.25">
      <c r="A25" s="89">
        <v>17</v>
      </c>
      <c r="B25" s="51"/>
      <c r="C25" s="19"/>
      <c r="D25" s="20"/>
      <c r="E25" s="20"/>
      <c r="F25" s="52"/>
      <c r="G25" s="68" t="str">
        <f t="shared" si="0"/>
        <v/>
      </c>
    </row>
    <row r="26" spans="1:7" ht="15" customHeight="1" x14ac:dyDescent="0.25">
      <c r="A26" s="89">
        <v>18</v>
      </c>
      <c r="B26" s="51"/>
      <c r="C26" s="19"/>
      <c r="D26" s="20"/>
      <c r="E26" s="20"/>
      <c r="F26" s="52"/>
      <c r="G26" s="68" t="str">
        <f t="shared" si="0"/>
        <v/>
      </c>
    </row>
    <row r="27" spans="1:7" ht="15" customHeight="1" x14ac:dyDescent="0.25">
      <c r="A27" s="89">
        <v>19</v>
      </c>
      <c r="B27" s="51"/>
      <c r="C27" s="19"/>
      <c r="D27" s="20"/>
      <c r="E27" s="20"/>
      <c r="F27" s="52"/>
      <c r="G27" s="68" t="str">
        <f t="shared" si="0"/>
        <v/>
      </c>
    </row>
    <row r="28" spans="1:7" ht="15" customHeight="1" thickBot="1" x14ac:dyDescent="0.3">
      <c r="A28" s="89">
        <v>20</v>
      </c>
      <c r="B28" s="55"/>
      <c r="C28" s="53"/>
      <c r="D28" s="56"/>
      <c r="E28" s="56"/>
      <c r="F28" s="54"/>
      <c r="G28" s="68" t="str">
        <f t="shared" si="0"/>
        <v/>
      </c>
    </row>
    <row r="29" spans="1:7" x14ac:dyDescent="0.25">
      <c r="B29" s="4" t="str">
        <f>IF(COUNTA(ap20nms)&gt;COUNT(ap20avs)," There are more Names than Averages. Please check.","")</f>
        <v/>
      </c>
    </row>
    <row r="30" spans="1:7" x14ac:dyDescent="0.25">
      <c r="B30" s="4" t="str">
        <f>IF(COUNTA(ap20nms)&lt;COUNT(ap20avs)," There are more Averages than Names. Please check.","")</f>
        <v/>
      </c>
    </row>
    <row r="31" spans="1:7" x14ac:dyDescent="0.25">
      <c r="B31" s="4" t="str">
        <f>IF(AND(COUNTA(ap20tms)&gt;0,MOD(COUNTA(ap20tms),3)&lt;&gt;0)," The number of team letters must be a multiple of 3.","")</f>
        <v/>
      </c>
    </row>
    <row r="32" spans="1:7" x14ac:dyDescent="0.25">
      <c r="B32" s="4" t="str">
        <f>IF(COUNTA(ap20js)&gt;COUNTA(ap20inds)," There are more Juns/Sens than the number of individual entrants","")</f>
        <v/>
      </c>
    </row>
    <row r="33" spans="2:2" x14ac:dyDescent="0.25">
      <c r="B33" s="4" t="str">
        <f>IF(COUNTA(ap20tms)&gt;COUNTA(ap20nms)," There are more team letters than potential  team members.","")</f>
        <v/>
      </c>
    </row>
    <row r="34" spans="2:2" x14ac:dyDescent="0.25">
      <c r="B34" s="4" t="str">
        <f>IF(COUNTIFS(ap20chk,"?*")&gt;0," Name entered neither as an Individual nor as a Team member. See 'x' at side.","")</f>
        <v/>
      </c>
    </row>
  </sheetData>
  <sheetProtection algorithmName="SHA-512" hashValue="BXcV4Y5vg316cwqNH3ultf74oOrTTtOx5edYCDpekauj7eguu/94x6EAM6YRLLUV53SFr467Tsjxoor6yY0trA==" saltValue="T2CrZH+coLXjgjQw2U/x6g==" spinCount="100000" sheet="1" objects="1" selectLockedCells="1"/>
  <mergeCells count="4">
    <mergeCell ref="B1:F1"/>
    <mergeCell ref="B2:F2"/>
    <mergeCell ref="B3:F3"/>
    <mergeCell ref="B6:D6"/>
  </mergeCells>
  <dataValidations count="5">
    <dataValidation type="decimal" allowBlank="1" showInputMessage="1" showErrorMessage="1" errorTitle="Data error" error="Averages must be a decimal number between 1 and 200." sqref="C9:C28" xr:uid="{866C5BF7-45EE-4C25-8855-7BDCC5B21EBE}">
      <formula1>1</formula1>
      <formula2>200</formula2>
    </dataValidation>
    <dataValidation type="custom" allowBlank="1" showInputMessage="1" showErrorMessage="1" errorTitle="Data Error" error="Enter 'x' or 'X' for Individual entrants." sqref="D9:D28" xr:uid="{51E2DFF7-A9EE-4EB4-A009-64959B8701F2}">
      <formula1>OR(EXACT(D9,"x"),EXACT(D9,"X"))</formula1>
    </dataValidation>
    <dataValidation type="custom" allowBlank="1" showInputMessage="1" showErrorMessage="1" errorTitle="Data error" error="Team letters must be one-charcater alphabetic." sqref="F9:F28" xr:uid="{B25236B5-9941-409C-8989-2168F8A44CF7}">
      <formula1>AND(LEN(F9)=1,ISTEXT(F9))</formula1>
    </dataValidation>
    <dataValidation type="custom" allowBlank="1" showInputMessage="1" showErrorMessage="1" errorTitle="Data error" error="error" sqref="K9" xr:uid="{947949E9-76BC-40FF-A564-FF270B981F51}">
      <formula1>AND(LEN(F9)=1,ISTEXT(F9))</formula1>
    </dataValidation>
    <dataValidation type="custom" allowBlank="1" showInputMessage="1" showErrorMessage="1" errorTitle="Data error" error="Enter 'J' or  S' (upper or lower case) to make an entry to the Junior or Senior competition." sqref="E9:E28" xr:uid="{75F88A93-9199-41E9-9DED-F035FF9FC001}">
      <formula1>OR(E9="J",E9="J",E9="s",E9="S")</formula1>
    </dataValidation>
  </dataValidations>
  <hyperlinks>
    <hyperlink ref="B4" location="summap20" display="Go to Summary sheet" xr:uid="{BCDF17EB-8B20-450C-BF79-0E56349E0E0E}"/>
  </hyperlinks>
  <printOptions horizontalCentered="1"/>
  <pageMargins left="0.47244094488188981" right="0.55118110236220474" top="0.74803149606299213" bottom="0.74803149606299213"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204</vt:i4>
      </vt:variant>
    </vt:vector>
  </HeadingPairs>
  <TitlesOfParts>
    <vt:vector size="235" baseType="lpstr">
      <vt:lpstr>Instructions</vt:lpstr>
      <vt:lpstr>Submission</vt:lpstr>
      <vt:lpstr>Summary</vt:lpstr>
      <vt:lpstr>Conditions</vt:lpstr>
      <vt:lpstr>10m Air Pistol</vt:lpstr>
      <vt:lpstr>10m Air Pistol (Supp rest)</vt:lpstr>
      <vt:lpstr>10m Air Rifle</vt:lpstr>
      <vt:lpstr>10m Air Rifle (Supp rest)</vt:lpstr>
      <vt:lpstr>20Yd Pistol</vt:lpstr>
      <vt:lpstr>6Yd Air Pistol</vt:lpstr>
      <vt:lpstr>Bench 100yd</vt:lpstr>
      <vt:lpstr>Bench 50m</vt:lpstr>
      <vt:lpstr>Bench SR (Air)</vt:lpstr>
      <vt:lpstr>Bench SR (Rim)</vt:lpstr>
      <vt:lpstr>Gallery Rifle Any</vt:lpstr>
      <vt:lpstr>Gallery Rifle Iron</vt:lpstr>
      <vt:lpstr>L-Barrelled Revolver Any</vt:lpstr>
      <vt:lpstr>L-Barrelled Revolver Iron</vt:lpstr>
      <vt:lpstr>Long Barrelled Pistol</vt:lpstr>
      <vt:lpstr>LR Rifle 100 Any</vt:lpstr>
      <vt:lpstr>LR Rifle 50 Iron</vt:lpstr>
      <vt:lpstr>LR Rifle Dewar</vt:lpstr>
      <vt:lpstr>Muzzle-loading Nitro</vt:lpstr>
      <vt:lpstr>Muzzle-loading Pistol</vt:lpstr>
      <vt:lpstr>Muzzle-loading Revolver</vt:lpstr>
      <vt:lpstr>Rapid Fire Air Pistol</vt:lpstr>
      <vt:lpstr>Rapid Fire Rifle</vt:lpstr>
      <vt:lpstr>Short Range Rifle</vt:lpstr>
      <vt:lpstr>Sport Rifle</vt:lpstr>
      <vt:lpstr>SR Standard Pistol</vt:lpstr>
      <vt:lpstr>Work</vt:lpstr>
      <vt:lpstr>Conditions!_Hlk107047039</vt:lpstr>
      <vt:lpstr>Conditions!_Hlk10976196</vt:lpstr>
      <vt:lpstr>Conditions!_Hlk124940065</vt:lpstr>
      <vt:lpstr>Conditions!_Hlk152082173</vt:lpstr>
      <vt:lpstr>Conditions!_Hlk37516951</vt:lpstr>
      <vt:lpstr>Conditions!_Hlk37517549</vt:lpstr>
      <vt:lpstr>address1</vt:lpstr>
      <vt:lpstr>address2</vt:lpstr>
      <vt:lpstr>address3</vt:lpstr>
      <vt:lpstr>address4</vt:lpstr>
      <vt:lpstr>ap20avs</vt:lpstr>
      <vt:lpstr>ap20chk</vt:lpstr>
      <vt:lpstr>ap20errs</vt:lpstr>
      <vt:lpstr>ap20inds</vt:lpstr>
      <vt:lpstr>ap20js</vt:lpstr>
      <vt:lpstr>ap20nms</vt:lpstr>
      <vt:lpstr>ap20tms</vt:lpstr>
      <vt:lpstr>ap6avs</vt:lpstr>
      <vt:lpstr>ap6errs</vt:lpstr>
      <vt:lpstr>ap6js</vt:lpstr>
      <vt:lpstr>ap6nms</vt:lpstr>
      <vt:lpstr>apavs</vt:lpstr>
      <vt:lpstr>apchk</vt:lpstr>
      <vt:lpstr>aperrs</vt:lpstr>
      <vt:lpstr>apinds</vt:lpstr>
      <vt:lpstr>apjs</vt:lpstr>
      <vt:lpstr>apnms</vt:lpstr>
      <vt:lpstr>apsravs</vt:lpstr>
      <vt:lpstr>apsrerrs</vt:lpstr>
      <vt:lpstr>apsrjs</vt:lpstr>
      <vt:lpstr>apsrnms</vt:lpstr>
      <vt:lpstr>aptms</vt:lpstr>
      <vt:lpstr>aravs</vt:lpstr>
      <vt:lpstr>archk</vt:lpstr>
      <vt:lpstr>arerrs</vt:lpstr>
      <vt:lpstr>arinds</vt:lpstr>
      <vt:lpstr>arjs</vt:lpstr>
      <vt:lpstr>arnms</vt:lpstr>
      <vt:lpstr>arsravs</vt:lpstr>
      <vt:lpstr>arsrerrs</vt:lpstr>
      <vt:lpstr>arsrjs</vt:lpstr>
      <vt:lpstr>arsrnms</vt:lpstr>
      <vt:lpstr>artms</vt:lpstr>
      <vt:lpstr>as100avs</vt:lpstr>
      <vt:lpstr>as100chk</vt:lpstr>
      <vt:lpstr>as100errs</vt:lpstr>
      <vt:lpstr>as100inds</vt:lpstr>
      <vt:lpstr>as100js</vt:lpstr>
      <vt:lpstr>as100nms</vt:lpstr>
      <vt:lpstr>as100tms</vt:lpstr>
      <vt:lpstr>BR100avs</vt:lpstr>
      <vt:lpstr>BR100chk</vt:lpstr>
      <vt:lpstr>BR100errs</vt:lpstr>
      <vt:lpstr>BR100inds</vt:lpstr>
      <vt:lpstr>BR100js</vt:lpstr>
      <vt:lpstr>BR100nms</vt:lpstr>
      <vt:lpstr>BR100tms</vt:lpstr>
      <vt:lpstr>closingdate</vt:lpstr>
      <vt:lpstr>clubname</vt:lpstr>
      <vt:lpstr>dewravs</vt:lpstr>
      <vt:lpstr>dewrchk</vt:lpstr>
      <vt:lpstr>dewrerrs</vt:lpstr>
      <vt:lpstr>dewrinds</vt:lpstr>
      <vt:lpstr>dewrjs</vt:lpstr>
      <vt:lpstr>dewrnms</vt:lpstr>
      <vt:lpstr>dewrtms</vt:lpstr>
      <vt:lpstr>discipline</vt:lpstr>
      <vt:lpstr>email1</vt:lpstr>
      <vt:lpstr>email2</vt:lpstr>
      <vt:lpstr>errorindicator</vt:lpstr>
      <vt:lpstr>feeind</vt:lpstr>
      <vt:lpstr>feejs</vt:lpstr>
      <vt:lpstr>feesummary</vt:lpstr>
      <vt:lpstr>feetm</vt:lpstr>
      <vt:lpstr>formdate</vt:lpstr>
      <vt:lpstr>gdprbox</vt:lpstr>
      <vt:lpstr>graavs</vt:lpstr>
      <vt:lpstr>graerrs</vt:lpstr>
      <vt:lpstr>grajs</vt:lpstr>
      <vt:lpstr>granms</vt:lpstr>
      <vt:lpstr>griavs</vt:lpstr>
      <vt:lpstr>grierrs</vt:lpstr>
      <vt:lpstr>grijs</vt:lpstr>
      <vt:lpstr>grinms</vt:lpstr>
      <vt:lpstr>indcount</vt:lpstr>
      <vt:lpstr>indsfees</vt:lpstr>
      <vt:lpstr>is50avs</vt:lpstr>
      <vt:lpstr>is50chk</vt:lpstr>
      <vt:lpstr>is50errs</vt:lpstr>
      <vt:lpstr>is50inds</vt:lpstr>
      <vt:lpstr>is50js</vt:lpstr>
      <vt:lpstr>is50nms</vt:lpstr>
      <vt:lpstr>is50tms</vt:lpstr>
      <vt:lpstr>juncount</vt:lpstr>
      <vt:lpstr>junfees</vt:lpstr>
      <vt:lpstr>junsenfees</vt:lpstr>
      <vt:lpstr>lbpavs</vt:lpstr>
      <vt:lpstr>lbperrs</vt:lpstr>
      <vt:lpstr>lbpjs</vt:lpstr>
      <vt:lpstr>lbpnms</vt:lpstr>
      <vt:lpstr>lbraavs</vt:lpstr>
      <vt:lpstr>lbraerrs</vt:lpstr>
      <vt:lpstr>lbrajs</vt:lpstr>
      <vt:lpstr>lbranms</vt:lpstr>
      <vt:lpstr>lbriavs</vt:lpstr>
      <vt:lpstr>lbrierrs</vt:lpstr>
      <vt:lpstr>lbrijs</vt:lpstr>
      <vt:lpstr>lbrinms</vt:lpstr>
      <vt:lpstr>lrbravs</vt:lpstr>
      <vt:lpstr>lrbrchk</vt:lpstr>
      <vt:lpstr>lrbrerrs</vt:lpstr>
      <vt:lpstr>lrbrinds</vt:lpstr>
      <vt:lpstr>lrbrjs</vt:lpstr>
      <vt:lpstr>lrbrnms</vt:lpstr>
      <vt:lpstr>lrbrtms</vt:lpstr>
      <vt:lpstr>mlnavs</vt:lpstr>
      <vt:lpstr>mlnerrs</vt:lpstr>
      <vt:lpstr>mlnjs</vt:lpstr>
      <vt:lpstr>mlnnms</vt:lpstr>
      <vt:lpstr>mlpavs</vt:lpstr>
      <vt:lpstr>mlperrs</vt:lpstr>
      <vt:lpstr>mlpjs</vt:lpstr>
      <vt:lpstr>mlpnms</vt:lpstr>
      <vt:lpstr>mlravs</vt:lpstr>
      <vt:lpstr>mlrerrs</vt:lpstr>
      <vt:lpstr>mlrjs</vt:lpstr>
      <vt:lpstr>mlrnms</vt:lpstr>
      <vt:lpstr>name</vt:lpstr>
      <vt:lpstr>phone</vt:lpstr>
      <vt:lpstr>position</vt:lpstr>
      <vt:lpstr>postcode</vt:lpstr>
      <vt:lpstr>rfapavs</vt:lpstr>
      <vt:lpstr>rfaperrs</vt:lpstr>
      <vt:lpstr>rfapjs</vt:lpstr>
      <vt:lpstr>rfapnms</vt:lpstr>
      <vt:lpstr>rfravs</vt:lpstr>
      <vt:lpstr>rfrerrs</vt:lpstr>
      <vt:lpstr>rfrjs</vt:lpstr>
      <vt:lpstr>rfrnms</vt:lpstr>
      <vt:lpstr>season</vt:lpstr>
      <vt:lpstr>sencount</vt:lpstr>
      <vt:lpstr>senfees</vt:lpstr>
      <vt:lpstr>signature</vt:lpstr>
      <vt:lpstr>sprtavs</vt:lpstr>
      <vt:lpstr>sprtchk</vt:lpstr>
      <vt:lpstr>sprterrs</vt:lpstr>
      <vt:lpstr>sprtinds</vt:lpstr>
      <vt:lpstr>sprtjs</vt:lpstr>
      <vt:lpstr>sprtnms</vt:lpstr>
      <vt:lpstr>sprttms</vt:lpstr>
      <vt:lpstr>srbraavs</vt:lpstr>
      <vt:lpstr>srbrachk</vt:lpstr>
      <vt:lpstr>srbraerrs</vt:lpstr>
      <vt:lpstr>srbrainds</vt:lpstr>
      <vt:lpstr>srbrajs</vt:lpstr>
      <vt:lpstr>srbranms</vt:lpstr>
      <vt:lpstr>srbratms</vt:lpstr>
      <vt:lpstr>srbrravs</vt:lpstr>
      <vt:lpstr>srbrrchk</vt:lpstr>
      <vt:lpstr>srbrrerrs</vt:lpstr>
      <vt:lpstr>srbrrinds</vt:lpstr>
      <vt:lpstr>srbrrjs</vt:lpstr>
      <vt:lpstr>srbrrnms</vt:lpstr>
      <vt:lpstr>srbrrtms</vt:lpstr>
      <vt:lpstr>srravs</vt:lpstr>
      <vt:lpstr>srrchk</vt:lpstr>
      <vt:lpstr>srrerrs</vt:lpstr>
      <vt:lpstr>srrinds</vt:lpstr>
      <vt:lpstr>srrjs</vt:lpstr>
      <vt:lpstr>srrnms</vt:lpstr>
      <vt:lpstr>srrtms</vt:lpstr>
      <vt:lpstr>stpavs</vt:lpstr>
      <vt:lpstr>stperrs</vt:lpstr>
      <vt:lpstr>stpjs</vt:lpstr>
      <vt:lpstr>stpnms</vt:lpstr>
      <vt:lpstr>summap</vt:lpstr>
      <vt:lpstr>summap20</vt:lpstr>
      <vt:lpstr>summap6</vt:lpstr>
      <vt:lpstr>summapsr</vt:lpstr>
      <vt:lpstr>summar</vt:lpstr>
      <vt:lpstr>summarsr</vt:lpstr>
      <vt:lpstr>summas100</vt:lpstr>
      <vt:lpstr>summBR100</vt:lpstr>
      <vt:lpstr>summdewr</vt:lpstr>
      <vt:lpstr>summgra</vt:lpstr>
      <vt:lpstr>summgri</vt:lpstr>
      <vt:lpstr>summis50</vt:lpstr>
      <vt:lpstr>summlbp</vt:lpstr>
      <vt:lpstr>summlbra</vt:lpstr>
      <vt:lpstr>summlbri</vt:lpstr>
      <vt:lpstr>summlrbr</vt:lpstr>
      <vt:lpstr>summmln</vt:lpstr>
      <vt:lpstr>summmlp</vt:lpstr>
      <vt:lpstr>summmlr</vt:lpstr>
      <vt:lpstr>summrfap</vt:lpstr>
      <vt:lpstr>summrfr</vt:lpstr>
      <vt:lpstr>summsprt</vt:lpstr>
      <vt:lpstr>summsrbra</vt:lpstr>
      <vt:lpstr>summsrbrr</vt:lpstr>
      <vt:lpstr>summsrr</vt:lpstr>
      <vt:lpstr>summstp</vt:lpstr>
      <vt:lpstr>teamscount</vt:lpstr>
      <vt:lpstr>teamsfees</vt:lpstr>
      <vt:lpstr>totfees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 Hamilton</dc:creator>
  <cp:lastModifiedBy>Bill Hamilton</cp:lastModifiedBy>
  <cp:lastPrinted>2025-01-20T15:45:30Z</cp:lastPrinted>
  <dcterms:created xsi:type="dcterms:W3CDTF">2021-01-15T18:00:55Z</dcterms:created>
  <dcterms:modified xsi:type="dcterms:W3CDTF">2025-09-05T17:29:42Z</dcterms:modified>
</cp:coreProperties>
</file>